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7695" tabRatio="731" firstSheet="7" activeTab="10"/>
  </bookViews>
  <sheets>
    <sheet name="ASIENTOS" sheetId="1" r:id="rId1"/>
    <sheet name="NOMINAS" sheetId="2" r:id="rId2"/>
    <sheet name="POLIZA DE DIARIO" sheetId="4" r:id="rId3"/>
    <sheet name="POLIZA DE EGRESO" sheetId="7" r:id="rId4"/>
    <sheet name="POLIZA DE INGRESO" sheetId="8" r:id="rId5"/>
    <sheet name="CATALOGO DE CUENTAS" sheetId="3" r:id="rId6"/>
    <sheet name="TARJETA DE ALMACEN" sheetId="6" r:id="rId7"/>
    <sheet name="ESQUEMAS DE MAYOR" sheetId="5" r:id="rId8"/>
    <sheet name="BALANZA DE COMPROBACION" sheetId="12" r:id="rId9"/>
    <sheet name="HOJA DE TRABAJO" sheetId="10" r:id="rId10"/>
    <sheet name="PAPEL DE TRABAJO" sheetId="9" r:id="rId11"/>
  </sheets>
  <definedNames>
    <definedName name="_xlnm._FilterDatabase" localSheetId="9" hidden="1">'HOJA DE TRABAJO'!$A$1:$R$53</definedName>
    <definedName name="_xlnm._FilterDatabase" localSheetId="2" hidden="1">'POLIZA DE DIARIO'!$A$2:$D$3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9" l="1"/>
  <c r="O11" i="9"/>
  <c r="O12" i="9"/>
  <c r="O13" i="9"/>
  <c r="O14" i="9"/>
  <c r="O15" i="9"/>
  <c r="F11" i="9"/>
  <c r="F12" i="9"/>
  <c r="F13" i="9" s="1"/>
  <c r="F14" i="9" s="1"/>
  <c r="F15" i="9" s="1"/>
  <c r="F10" i="9"/>
  <c r="H9" i="9"/>
  <c r="C9" i="9"/>
  <c r="B9" i="9"/>
  <c r="Q42" i="10"/>
  <c r="Q41" i="10"/>
  <c r="Q40" i="10"/>
  <c r="Q39" i="10"/>
  <c r="Q38" i="10"/>
  <c r="Q37" i="10"/>
  <c r="Q24" i="10"/>
  <c r="Q30" i="10"/>
  <c r="Q29" i="10"/>
  <c r="Q26" i="10"/>
  <c r="O36" i="10"/>
  <c r="O34" i="10"/>
  <c r="O33" i="10"/>
  <c r="N46" i="10"/>
  <c r="N35" i="10"/>
  <c r="N31" i="10"/>
  <c r="M46" i="10"/>
  <c r="M42" i="10"/>
  <c r="M41" i="10"/>
  <c r="M39" i="10"/>
  <c r="M40" i="10"/>
  <c r="M35" i="10"/>
  <c r="M38" i="10"/>
  <c r="M37" i="10"/>
  <c r="M24" i="10"/>
  <c r="M30" i="10"/>
  <c r="M29" i="10"/>
  <c r="M31" i="10"/>
  <c r="M26" i="10"/>
  <c r="L36" i="10"/>
  <c r="L33" i="10"/>
  <c r="L34" i="10"/>
  <c r="H46" i="10" l="1"/>
  <c r="J46" i="10"/>
  <c r="K46" i="10"/>
  <c r="K42" i="10"/>
  <c r="K41" i="10"/>
  <c r="K40" i="10"/>
  <c r="K35" i="10"/>
  <c r="K39" i="10"/>
  <c r="K38" i="10"/>
  <c r="K37" i="10"/>
  <c r="C38" i="10"/>
  <c r="C39" i="10"/>
  <c r="C40" i="10"/>
  <c r="C41" i="10"/>
  <c r="C42" i="10"/>
  <c r="C37" i="10"/>
  <c r="K23" i="10"/>
  <c r="K13" i="10"/>
  <c r="J33" i="10"/>
  <c r="J36" i="10"/>
  <c r="J34" i="10"/>
  <c r="J29" i="10"/>
  <c r="J14" i="10"/>
  <c r="J20" i="10"/>
  <c r="J13" i="10"/>
  <c r="J25" i="10"/>
  <c r="J26" i="10"/>
  <c r="K10" i="10"/>
  <c r="K9" i="10"/>
  <c r="F10" i="10"/>
  <c r="G10" i="10"/>
  <c r="L10" i="10" s="1"/>
  <c r="P10" i="10" s="1"/>
  <c r="H10" i="10"/>
  <c r="F36" i="10"/>
  <c r="E36" i="10"/>
  <c r="E35" i="10"/>
  <c r="H35" i="10"/>
  <c r="H36" i="10"/>
  <c r="G35" i="10"/>
  <c r="G36" i="10"/>
  <c r="F35" i="10"/>
  <c r="C35" i="10"/>
  <c r="C36" i="10"/>
  <c r="E34" i="10"/>
  <c r="E33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8" i="10"/>
  <c r="E19" i="10"/>
  <c r="E16" i="10"/>
  <c r="E17" i="10"/>
  <c r="E15" i="10"/>
  <c r="E14" i="10"/>
  <c r="E11" i="10"/>
  <c r="E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1" i="10"/>
  <c r="H32" i="10"/>
  <c r="H33" i="10"/>
  <c r="H34" i="10"/>
  <c r="G11" i="10"/>
  <c r="G14" i="10"/>
  <c r="L14" i="10" s="1"/>
  <c r="P14" i="10" s="1"/>
  <c r="G15" i="10"/>
  <c r="G16" i="10"/>
  <c r="G17" i="10"/>
  <c r="G18" i="10"/>
  <c r="G19" i="10"/>
  <c r="G20" i="10"/>
  <c r="L20" i="10" s="1"/>
  <c r="P20" i="10" s="1"/>
  <c r="G21" i="10"/>
  <c r="L21" i="10" s="1"/>
  <c r="P21" i="10" s="1"/>
  <c r="G22" i="10"/>
  <c r="L22" i="10" s="1"/>
  <c r="P22" i="10" s="1"/>
  <c r="G23" i="10"/>
  <c r="L23" i="10" s="1"/>
  <c r="P23" i="10" s="1"/>
  <c r="G24" i="10"/>
  <c r="G25" i="10"/>
  <c r="G26" i="10"/>
  <c r="G27" i="10"/>
  <c r="G28" i="10"/>
  <c r="G29" i="10"/>
  <c r="G30" i="10"/>
  <c r="G31" i="10"/>
  <c r="G33" i="10"/>
  <c r="G34" i="10"/>
  <c r="F11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1" i="10"/>
  <c r="F32" i="10"/>
  <c r="F33" i="10"/>
  <c r="F34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9" i="10"/>
  <c r="F9" i="10"/>
  <c r="J9" i="9" l="1"/>
  <c r="L11" i="10"/>
  <c r="P11" i="10" s="1"/>
  <c r="F59" i="12"/>
  <c r="E21" i="12" l="1"/>
  <c r="E32" i="12"/>
  <c r="E45" i="12"/>
  <c r="H42" i="12"/>
  <c r="H43" i="12"/>
  <c r="E33" i="12"/>
  <c r="F24" i="12"/>
  <c r="E15" i="12"/>
  <c r="E13" i="12"/>
  <c r="E58" i="12"/>
  <c r="E57" i="12" s="1"/>
  <c r="F58" i="12"/>
  <c r="F54" i="12"/>
  <c r="F53" i="12" s="1"/>
  <c r="K49" i="5"/>
  <c r="H52" i="12"/>
  <c r="H51" i="12" s="1"/>
  <c r="H50" i="12"/>
  <c r="E44" i="12"/>
  <c r="F45" i="12"/>
  <c r="F44" i="12" s="1"/>
  <c r="K23" i="5"/>
  <c r="K22" i="5"/>
  <c r="J22" i="5"/>
  <c r="E42" i="12"/>
  <c r="F43" i="12"/>
  <c r="F41" i="12"/>
  <c r="H41" i="12" s="1"/>
  <c r="H40" i="12" s="1"/>
  <c r="F38" i="12"/>
  <c r="E39" i="12"/>
  <c r="E37" i="12"/>
  <c r="E35" i="12"/>
  <c r="N35" i="5"/>
  <c r="H31" i="12"/>
  <c r="H30" i="12" s="1"/>
  <c r="F28" i="12"/>
  <c r="H28" i="12" s="1"/>
  <c r="H29" i="12" s="1"/>
  <c r="O54" i="5"/>
  <c r="F26" i="12"/>
  <c r="H54" i="12" l="1"/>
  <c r="H53" i="12" s="1"/>
  <c r="F51" i="12"/>
  <c r="H58" i="12"/>
  <c r="G39" i="12"/>
  <c r="G38" i="12" s="1"/>
  <c r="E38" i="12"/>
  <c r="H45" i="12"/>
  <c r="H44" i="12" s="1"/>
  <c r="F30" i="12"/>
  <c r="H27" i="12"/>
  <c r="H26" i="12" s="1"/>
  <c r="J16" i="5"/>
  <c r="K15" i="5"/>
  <c r="J15" i="5"/>
  <c r="F15" i="12"/>
  <c r="F14" i="12" s="1"/>
  <c r="E14" i="12"/>
  <c r="H24" i="12" l="1"/>
  <c r="H25" i="12"/>
  <c r="G15" i="12"/>
  <c r="G14" i="12" s="1"/>
  <c r="K4" i="5"/>
  <c r="G58" i="5"/>
  <c r="F57" i="5"/>
  <c r="G35" i="5"/>
  <c r="F35" i="5"/>
  <c r="F56" i="5"/>
  <c r="G30" i="5"/>
  <c r="F30" i="5"/>
  <c r="F55" i="5"/>
  <c r="G55" i="5"/>
  <c r="F47" i="5"/>
  <c r="G54" i="5"/>
  <c r="B22" i="5"/>
  <c r="B21" i="5"/>
  <c r="C22" i="5" s="1"/>
  <c r="O49" i="5"/>
  <c r="N49" i="5"/>
  <c r="C37" i="5"/>
  <c r="B37" i="5"/>
  <c r="F21" i="5"/>
  <c r="C54" i="5" s="1"/>
  <c r="F29" i="5"/>
  <c r="N48" i="5"/>
  <c r="K48" i="5"/>
  <c r="J14" i="5"/>
  <c r="F28" i="5"/>
  <c r="N47" i="5"/>
  <c r="K47" i="5" l="1"/>
  <c r="J13" i="5"/>
  <c r="F34" i="5"/>
  <c r="G41" i="5"/>
  <c r="F40" i="5"/>
  <c r="G47" i="5"/>
  <c r="N28" i="5"/>
  <c r="N27" i="5"/>
  <c r="O26" i="5"/>
  <c r="B36" i="5"/>
  <c r="C47" i="5"/>
  <c r="B35" i="5"/>
  <c r="F27" i="5"/>
  <c r="B41" i="5"/>
  <c r="O40" i="5"/>
  <c r="N34" i="5"/>
  <c r="K33" i="5"/>
  <c r="J21" i="5"/>
  <c r="B34" i="5"/>
  <c r="J29" i="5"/>
  <c r="K28" i="5"/>
  <c r="J28" i="5"/>
  <c r="K3" i="5"/>
  <c r="Q20" i="5"/>
  <c r="Q19" i="5"/>
  <c r="F33" i="5"/>
  <c r="C4" i="5"/>
  <c r="C3" i="5"/>
  <c r="B33" i="5"/>
  <c r="F26" i="5"/>
  <c r="C28" i="5"/>
  <c r="E15" i="6"/>
  <c r="E28" i="8"/>
  <c r="E27" i="8"/>
  <c r="D26" i="8"/>
  <c r="D25" i="8"/>
  <c r="B30" i="8"/>
  <c r="B29" i="8"/>
  <c r="B26" i="8"/>
  <c r="B27" i="8"/>
  <c r="B28" i="8"/>
  <c r="B25" i="8"/>
  <c r="F5" i="5"/>
  <c r="G20" i="5"/>
  <c r="B20" i="5"/>
  <c r="C20" i="5"/>
  <c r="E43" i="4"/>
  <c r="D42" i="4"/>
  <c r="E41" i="4"/>
  <c r="D40" i="4"/>
  <c r="D39" i="4"/>
  <c r="N7" i="5"/>
  <c r="B40" i="4"/>
  <c r="B41" i="4"/>
  <c r="B42" i="4"/>
  <c r="B43" i="4"/>
  <c r="B39" i="4"/>
  <c r="E44" i="4"/>
  <c r="E46" i="4" s="1"/>
  <c r="E40" i="4"/>
  <c r="D46" i="4"/>
  <c r="D14" i="6"/>
  <c r="C26" i="5"/>
  <c r="K27" i="5"/>
  <c r="J19" i="5"/>
  <c r="G19" i="5"/>
  <c r="J20" i="5"/>
  <c r="B19" i="5"/>
  <c r="E43" i="7"/>
  <c r="E42" i="7"/>
  <c r="D41" i="7"/>
  <c r="D40" i="7"/>
  <c r="B41" i="7"/>
  <c r="B42" i="7"/>
  <c r="B43" i="7"/>
  <c r="B40" i="7"/>
  <c r="E47" i="7"/>
  <c r="D47" i="7"/>
  <c r="J13" i="6"/>
  <c r="G13" i="6"/>
  <c r="D13" i="6"/>
  <c r="I13" i="6" s="1"/>
  <c r="G6" i="5"/>
  <c r="N22" i="5"/>
  <c r="O6" i="5"/>
  <c r="N6" i="5"/>
  <c r="E17" i="8"/>
  <c r="E16" i="8"/>
  <c r="D15" i="8"/>
  <c r="D14" i="8"/>
  <c r="D20" i="8" s="1"/>
  <c r="B17" i="8"/>
  <c r="B16" i="8"/>
  <c r="B15" i="8"/>
  <c r="B14" i="8"/>
  <c r="E20" i="8" l="1"/>
  <c r="B4" i="8"/>
  <c r="B5" i="8"/>
  <c r="B3" i="8"/>
  <c r="F4" i="5"/>
  <c r="K26" i="5"/>
  <c r="E30" i="7"/>
  <c r="D29" i="7"/>
  <c r="D35" i="7" s="1"/>
  <c r="D28" i="7"/>
  <c r="B29" i="7"/>
  <c r="B30" i="7"/>
  <c r="B28" i="7"/>
  <c r="E35" i="7"/>
  <c r="G5" i="5"/>
  <c r="N21" i="5"/>
  <c r="N26" i="5"/>
  <c r="B30" i="4"/>
  <c r="B31" i="4"/>
  <c r="E12" i="6"/>
  <c r="I11" i="6"/>
  <c r="G10" i="6"/>
  <c r="D10" i="6"/>
  <c r="E29" i="4"/>
  <c r="E28" i="4"/>
  <c r="D27" i="4"/>
  <c r="B28" i="4"/>
  <c r="B29" i="4"/>
  <c r="B27" i="4"/>
  <c r="E32" i="4"/>
  <c r="D28" i="4"/>
  <c r="J26" i="5"/>
  <c r="K19" i="5"/>
  <c r="K19" i="1"/>
  <c r="C19" i="5"/>
  <c r="N20" i="5" l="1"/>
  <c r="N23" i="5" s="1"/>
  <c r="J12" i="5"/>
  <c r="E17" i="4"/>
  <c r="D16" i="4"/>
  <c r="D15" i="4"/>
  <c r="B16" i="4"/>
  <c r="B17" i="4"/>
  <c r="B15" i="4"/>
  <c r="D22" i="4"/>
  <c r="E20" i="4"/>
  <c r="E19" i="4"/>
  <c r="E22" i="4" s="1"/>
  <c r="G4" i="5"/>
  <c r="N5" i="5"/>
  <c r="N8" i="5" s="1"/>
  <c r="E17" i="7"/>
  <c r="D16" i="7"/>
  <c r="D15" i="7"/>
  <c r="O12" i="5"/>
  <c r="N4" i="5"/>
  <c r="E5" i="7"/>
  <c r="G3" i="5"/>
  <c r="D4" i="7"/>
  <c r="D3" i="7"/>
  <c r="N19" i="5"/>
  <c r="B12" i="5"/>
  <c r="E5" i="8"/>
  <c r="D4" i="8"/>
  <c r="E7" i="4"/>
  <c r="D6" i="4"/>
  <c r="D5" i="4"/>
  <c r="D3" i="4"/>
  <c r="D4" i="4"/>
  <c r="G40" i="5"/>
  <c r="B40" i="5"/>
  <c r="N33" i="5"/>
  <c r="N3" i="5"/>
  <c r="E17" i="12" l="1"/>
  <c r="E19" i="12"/>
  <c r="O23" i="5"/>
  <c r="Q21" i="5"/>
  <c r="R21" i="5" s="1"/>
  <c r="B54" i="5" s="1"/>
  <c r="C55" i="5" s="1"/>
  <c r="H4" i="1"/>
  <c r="G12" i="5" s="1"/>
  <c r="H9" i="10" l="1"/>
  <c r="E40" i="12"/>
  <c r="K34" i="5"/>
  <c r="H47" i="12" s="1"/>
  <c r="G61" i="12"/>
  <c r="C21" i="5"/>
  <c r="I10" i="6"/>
  <c r="G23" i="12" l="1"/>
  <c r="G22" i="12" s="1"/>
  <c r="G60" i="12"/>
  <c r="E34" i="12"/>
  <c r="G35" i="12"/>
  <c r="G34" i="12" s="1"/>
  <c r="F57" i="12"/>
  <c r="H57" i="12"/>
  <c r="I16" i="9"/>
  <c r="J16" i="9"/>
  <c r="H16" i="9"/>
  <c r="C16" i="9"/>
  <c r="D16" i="9"/>
  <c r="E16" i="9"/>
  <c r="B16" i="9"/>
  <c r="K9" i="9"/>
  <c r="F9" i="9"/>
  <c r="R9" i="9" s="1"/>
  <c r="R10" i="9" s="1"/>
  <c r="K10" i="9" l="1"/>
  <c r="K11" i="9" s="1"/>
  <c r="K12" i="9" s="1"/>
  <c r="K13" i="9" s="1"/>
  <c r="K14" i="9" s="1"/>
  <c r="K15" i="9" s="1"/>
  <c r="R7" i="9"/>
  <c r="R8" i="9" s="1"/>
  <c r="N9" i="9"/>
  <c r="M9" i="9"/>
  <c r="F16" i="9"/>
  <c r="M27" i="2"/>
  <c r="J27" i="2"/>
  <c r="K16" i="9" l="1"/>
  <c r="N16" i="9"/>
  <c r="O9" i="9"/>
  <c r="R11" i="9"/>
  <c r="R13" i="9" s="1"/>
  <c r="M16" i="9"/>
  <c r="O16" i="9"/>
  <c r="O27" i="5"/>
  <c r="H48" i="12"/>
  <c r="F46" i="12" l="1"/>
  <c r="H49" i="12"/>
  <c r="H46" i="12" s="1"/>
  <c r="I9" i="6"/>
  <c r="K9" i="6" s="1"/>
  <c r="B16" i="7"/>
  <c r="B17" i="7"/>
  <c r="B15" i="7"/>
  <c r="D22" i="7"/>
  <c r="G21" i="5"/>
  <c r="D10" i="7"/>
  <c r="B5" i="7"/>
  <c r="B4" i="7"/>
  <c r="B3" i="7"/>
  <c r="F9" i="6"/>
  <c r="F10" i="6" s="1"/>
  <c r="F11" i="6" s="1"/>
  <c r="F12" i="6" s="1"/>
  <c r="F13" i="6" s="1"/>
  <c r="F14" i="6" s="1"/>
  <c r="F15" i="6" s="1"/>
  <c r="B6" i="4"/>
  <c r="B7" i="4"/>
  <c r="B8" i="4"/>
  <c r="B5" i="4"/>
  <c r="B4" i="4"/>
  <c r="B13" i="5"/>
  <c r="F3" i="5"/>
  <c r="F7" i="5" s="1"/>
  <c r="B3" i="5"/>
  <c r="B4" i="5" l="1"/>
  <c r="D3" i="8"/>
  <c r="K10" i="6"/>
  <c r="F42" i="12"/>
  <c r="F40" i="12"/>
  <c r="K12" i="5"/>
  <c r="E10" i="7"/>
  <c r="G7" i="5"/>
  <c r="E22" i="7"/>
  <c r="G33" i="12"/>
  <c r="G32" i="12" s="1"/>
  <c r="E16" i="12"/>
  <c r="E12" i="10" s="1"/>
  <c r="G37" i="12"/>
  <c r="G36" i="12" s="1"/>
  <c r="E36" i="12"/>
  <c r="F8" i="5"/>
  <c r="J4" i="5" s="1"/>
  <c r="J5" i="5" s="1"/>
  <c r="B3" i="4"/>
  <c r="H10" i="6" l="1"/>
  <c r="K11" i="6"/>
  <c r="F13" i="12"/>
  <c r="F12" i="12" s="1"/>
  <c r="E11" i="12"/>
  <c r="B5" i="5"/>
  <c r="F20" i="12"/>
  <c r="G21" i="12"/>
  <c r="G20" i="12" s="1"/>
  <c r="E20" i="12"/>
  <c r="E12" i="12"/>
  <c r="D9" i="8"/>
  <c r="D10" i="4"/>
  <c r="G13" i="12" l="1"/>
  <c r="G12" i="12" s="1"/>
  <c r="E10" i="12"/>
  <c r="G11" i="12"/>
  <c r="E18" i="12"/>
  <c r="E13" i="10" s="1"/>
  <c r="G19" i="12"/>
  <c r="G18" i="12" s="1"/>
  <c r="G13" i="10" s="1"/>
  <c r="E9" i="8"/>
  <c r="J26" i="2"/>
  <c r="J25" i="2"/>
  <c r="J24" i="2"/>
  <c r="J23" i="2"/>
  <c r="H51" i="2"/>
  <c r="H50" i="2"/>
  <c r="H49" i="2"/>
  <c r="H48" i="2"/>
  <c r="H47" i="2"/>
  <c r="H46" i="2"/>
  <c r="H45" i="2"/>
  <c r="H44" i="2"/>
  <c r="G44" i="2"/>
  <c r="G50" i="2"/>
  <c r="G48" i="2"/>
  <c r="G46" i="2"/>
  <c r="G47" i="2" s="1"/>
  <c r="G49" i="2" s="1"/>
  <c r="G51" i="2" s="1"/>
  <c r="J12" i="2" s="1"/>
  <c r="G45" i="2"/>
  <c r="F50" i="2"/>
  <c r="F48" i="2"/>
  <c r="F45" i="2"/>
  <c r="E9" i="10" l="1"/>
  <c r="G10" i="12"/>
  <c r="F23" i="2"/>
  <c r="I23" i="2"/>
  <c r="M23" i="2"/>
  <c r="N23" i="2" s="1"/>
  <c r="I26" i="2"/>
  <c r="K26" i="2" s="1"/>
  <c r="F26" i="2"/>
  <c r="M26" i="2" s="1"/>
  <c r="N26" i="2" s="1"/>
  <c r="K25" i="2"/>
  <c r="I25" i="2"/>
  <c r="F25" i="2"/>
  <c r="M25" i="2" s="1"/>
  <c r="N25" i="2" s="1"/>
  <c r="K24" i="2"/>
  <c r="I24" i="2"/>
  <c r="F24" i="2"/>
  <c r="M24" i="2" s="1"/>
  <c r="N24" i="2" s="1"/>
  <c r="O12" i="2"/>
  <c r="N12" i="2"/>
  <c r="N13" i="2"/>
  <c r="N14" i="2"/>
  <c r="M12" i="2"/>
  <c r="M13" i="2"/>
  <c r="M14" i="2"/>
  <c r="K12" i="2"/>
  <c r="I12" i="2"/>
  <c r="I13" i="2"/>
  <c r="I14" i="2"/>
  <c r="I11" i="2"/>
  <c r="F44" i="2" s="1"/>
  <c r="F46" i="2" s="1"/>
  <c r="F47" i="2" s="1"/>
  <c r="F49" i="2" s="1"/>
  <c r="F51" i="2" s="1"/>
  <c r="J11" i="2" s="1"/>
  <c r="J13" i="2" s="1"/>
  <c r="J14" i="2" s="1"/>
  <c r="K14" i="2" s="1"/>
  <c r="O14" i="2" s="1"/>
  <c r="F12" i="2"/>
  <c r="F13" i="2"/>
  <c r="F14" i="2"/>
  <c r="F11" i="2"/>
  <c r="M11" i="2" s="1"/>
  <c r="N11" i="2" s="1"/>
  <c r="N15" i="2" s="1"/>
  <c r="G9" i="10" l="1"/>
  <c r="G13" i="5"/>
  <c r="K11" i="2"/>
  <c r="K13" i="2"/>
  <c r="O13" i="2" s="1"/>
  <c r="I15" i="2"/>
  <c r="K15" i="2"/>
  <c r="O11" i="2"/>
  <c r="I27" i="2"/>
  <c r="O24" i="2"/>
  <c r="O26" i="2"/>
  <c r="N27" i="2"/>
  <c r="O25" i="2"/>
  <c r="K23" i="2"/>
  <c r="K27" i="2" s="1"/>
  <c r="L9" i="10" l="1"/>
  <c r="F56" i="12"/>
  <c r="F55" i="12" s="1"/>
  <c r="E8" i="4"/>
  <c r="E10" i="4" s="1"/>
  <c r="H56" i="12"/>
  <c r="H55" i="12" s="1"/>
  <c r="O15" i="2"/>
  <c r="O23" i="2"/>
  <c r="O27" i="2" s="1"/>
  <c r="P9" i="10" l="1"/>
  <c r="F30" i="10"/>
  <c r="H30" i="10"/>
  <c r="H77" i="12"/>
  <c r="H11" i="6" l="1"/>
  <c r="H12" i="6" s="1"/>
  <c r="I14" i="6" l="1"/>
  <c r="J12" i="6"/>
  <c r="O3" i="5" l="1"/>
  <c r="B26" i="5"/>
  <c r="K12" i="6"/>
  <c r="K13" i="6" s="1"/>
  <c r="K14" i="6" l="1"/>
  <c r="H13" i="6"/>
  <c r="E31" i="4"/>
  <c r="E34" i="4" s="1"/>
  <c r="D30" i="4"/>
  <c r="D34" i="4" s="1"/>
  <c r="H14" i="6" l="1"/>
  <c r="H15" i="6" s="1"/>
  <c r="J15" i="6" s="1"/>
  <c r="B27" i="5" l="1"/>
  <c r="O7" i="5"/>
  <c r="K15" i="6"/>
  <c r="D29" i="8" l="1"/>
  <c r="D32" i="8" s="1"/>
  <c r="B28" i="5"/>
  <c r="E30" i="8"/>
  <c r="E32" i="8" s="1"/>
  <c r="O8" i="5"/>
  <c r="F17" i="12" l="1"/>
  <c r="N9" i="5"/>
  <c r="E59" i="12"/>
  <c r="B29" i="5"/>
  <c r="C29" i="5" s="1"/>
  <c r="F54" i="5" s="1"/>
  <c r="F58" i="5" s="1"/>
  <c r="G59" i="5" s="1"/>
  <c r="F59" i="5" s="1"/>
  <c r="K54" i="5" s="1"/>
  <c r="O43" i="10" s="1"/>
  <c r="Q43" i="10" s="1"/>
  <c r="Q46" i="10" s="1"/>
  <c r="E32" i="10" l="1"/>
  <c r="E46" i="10" s="1"/>
  <c r="G59" i="12"/>
  <c r="G32" i="10" s="1"/>
  <c r="L32" i="10" s="1"/>
  <c r="O32" i="10" s="1"/>
  <c r="O46" i="10" s="1"/>
  <c r="E77" i="12"/>
  <c r="F16" i="12"/>
  <c r="G17" i="12"/>
  <c r="G16" i="12" s="1"/>
  <c r="G12" i="10" l="1"/>
  <c r="G77" i="12"/>
  <c r="G79" i="12" s="1"/>
  <c r="F12" i="10"/>
  <c r="F46" i="10" s="1"/>
  <c r="F77" i="12"/>
  <c r="E79" i="12" s="1"/>
  <c r="L12" i="10" l="1"/>
  <c r="G46" i="10"/>
  <c r="P12" i="10" l="1"/>
  <c r="P46" i="10" s="1"/>
  <c r="L46" i="10"/>
</calcChain>
</file>

<file path=xl/sharedStrings.xml><?xml version="1.0" encoding="utf-8"?>
<sst xmlns="http://schemas.openxmlformats.org/spreadsheetml/2006/main" count="859" uniqueCount="388">
  <si>
    <t>Caja</t>
  </si>
  <si>
    <t xml:space="preserve">Bancos </t>
  </si>
  <si>
    <t>Los Magnificos, s.a de c.v</t>
  </si>
  <si>
    <t xml:space="preserve">1.- Se inician actividades con los siguientes valores; </t>
  </si>
  <si>
    <t>MAG-230992-DG6</t>
  </si>
  <si>
    <t>Central norte N° 86</t>
  </si>
  <si>
    <t>Tapachula, Chiapas</t>
  </si>
  <si>
    <t>Nomina correspondiente a la primer quincena de junio de 2013</t>
  </si>
  <si>
    <t>Area de Administracion</t>
  </si>
  <si>
    <t>T-1</t>
  </si>
  <si>
    <t>T-2</t>
  </si>
  <si>
    <t>T-3</t>
  </si>
  <si>
    <t>T-4</t>
  </si>
  <si>
    <t>Jose Robledo</t>
  </si>
  <si>
    <t>Fernando Ocampo</t>
  </si>
  <si>
    <t>Yolanda Montes</t>
  </si>
  <si>
    <t>N° de Trabajador</t>
  </si>
  <si>
    <t>Nombre</t>
  </si>
  <si>
    <t xml:space="preserve">Claudio Cano </t>
  </si>
  <si>
    <t>Fecha de ingreso</t>
  </si>
  <si>
    <t>RFC</t>
  </si>
  <si>
    <t>RARA920923HC3</t>
  </si>
  <si>
    <t>N° IMSS</t>
  </si>
  <si>
    <t>A65100950218</t>
  </si>
  <si>
    <t>A65100920923</t>
  </si>
  <si>
    <t>A65100950419</t>
  </si>
  <si>
    <t>A65100950702</t>
  </si>
  <si>
    <t>Sueldo base cotizado</t>
  </si>
  <si>
    <t>Dias laborados</t>
  </si>
  <si>
    <t>Sueldo diario</t>
  </si>
  <si>
    <t>Sueldo quincenal</t>
  </si>
  <si>
    <t>Subsidio</t>
  </si>
  <si>
    <t>Total</t>
  </si>
  <si>
    <t>Ret. IMSS</t>
  </si>
  <si>
    <t>Ret. ISR</t>
  </si>
  <si>
    <t>TOTAL</t>
  </si>
  <si>
    <t>Neto a recibir</t>
  </si>
  <si>
    <t>Firma del trabajador</t>
  </si>
  <si>
    <t>RETENCIONES</t>
  </si>
  <si>
    <t>PRESTACIONES</t>
  </si>
  <si>
    <t>Area de VENTA</t>
  </si>
  <si>
    <t>Dorelis Verdugo</t>
  </si>
  <si>
    <t>Erick Mendez</t>
  </si>
  <si>
    <t>Adriana Sereno</t>
  </si>
  <si>
    <t>VEGD950815G15</t>
  </si>
  <si>
    <t>MEGE961215GH2</t>
  </si>
  <si>
    <t>MASA950629JK5</t>
  </si>
  <si>
    <t>JIBO951015IO6</t>
  </si>
  <si>
    <t>T-5</t>
  </si>
  <si>
    <t>T-6</t>
  </si>
  <si>
    <t>T-7</t>
  </si>
  <si>
    <t>T-8</t>
  </si>
  <si>
    <t>CUENTA</t>
  </si>
  <si>
    <t>NOMBRE</t>
  </si>
  <si>
    <t>RUBRO</t>
  </si>
  <si>
    <t>CAJA</t>
  </si>
  <si>
    <t>1101-0001</t>
  </si>
  <si>
    <t>Caja chica</t>
  </si>
  <si>
    <t>BANCOS</t>
  </si>
  <si>
    <t>Banorte Cta. 5505</t>
  </si>
  <si>
    <t>1102-0001</t>
  </si>
  <si>
    <t>ULT. NIVEL</t>
  </si>
  <si>
    <t>NO</t>
  </si>
  <si>
    <t>SI</t>
  </si>
  <si>
    <t>A.C</t>
  </si>
  <si>
    <t>CLIENTES</t>
  </si>
  <si>
    <t>1103-0001</t>
  </si>
  <si>
    <t>Diana Gaitan</t>
  </si>
  <si>
    <t>ALMACEN</t>
  </si>
  <si>
    <t>Producto X</t>
  </si>
  <si>
    <t>1104-0001</t>
  </si>
  <si>
    <t>IVA ACREDITABLE</t>
  </si>
  <si>
    <t>1105-0001</t>
  </si>
  <si>
    <t>IVA PEND. ACREDITAR</t>
  </si>
  <si>
    <t>1106-0001</t>
  </si>
  <si>
    <t>PAGOS ANTICIPADOS</t>
  </si>
  <si>
    <t>1108-0001</t>
  </si>
  <si>
    <t>Subsidio al empleo</t>
  </si>
  <si>
    <t>A.N.C</t>
  </si>
  <si>
    <t>1201-0001</t>
  </si>
  <si>
    <t>1202-0001</t>
  </si>
  <si>
    <t>PROVEEDORES</t>
  </si>
  <si>
    <t>2101-0001</t>
  </si>
  <si>
    <t>General tire, s.a de c,v</t>
  </si>
  <si>
    <t>P.C.P</t>
  </si>
  <si>
    <t>IVA TRASLADADO</t>
  </si>
  <si>
    <t>2102-0001</t>
  </si>
  <si>
    <t>S</t>
  </si>
  <si>
    <t>2103-0001</t>
  </si>
  <si>
    <t>IVA PEND. TRASLADAR</t>
  </si>
  <si>
    <t>CAPITAL</t>
  </si>
  <si>
    <t>CAP.</t>
  </si>
  <si>
    <t>C. Contribuido</t>
  </si>
  <si>
    <t>3000-0001</t>
  </si>
  <si>
    <t>VENTAS</t>
  </si>
  <si>
    <t>ING.</t>
  </si>
  <si>
    <t>4000-0001</t>
  </si>
  <si>
    <t>G.ADMON</t>
  </si>
  <si>
    <t>COSTO DE VENTA</t>
  </si>
  <si>
    <t>C.V</t>
  </si>
  <si>
    <t>GASTOS DE ADMON</t>
  </si>
  <si>
    <t>5102-0001</t>
  </si>
  <si>
    <t>SUELDOS</t>
  </si>
  <si>
    <t>5102-0002</t>
  </si>
  <si>
    <t>Imp. Salariales</t>
  </si>
  <si>
    <t>5102-0002-0001</t>
  </si>
  <si>
    <t>IMSS</t>
  </si>
  <si>
    <t>IMPUESTOS POR PAGAR</t>
  </si>
  <si>
    <t>2104-0001</t>
  </si>
  <si>
    <t>RET. IMSS</t>
  </si>
  <si>
    <t>2104-0002</t>
  </si>
  <si>
    <t>RET. ISR</t>
  </si>
  <si>
    <t>LIMITE INFERIOR</t>
  </si>
  <si>
    <t>LIMITE SUPERIOR</t>
  </si>
  <si>
    <t>CUOTA FIJA</t>
  </si>
  <si>
    <t>% EXCEDENTE</t>
  </si>
  <si>
    <t>TARIFA PARA EL CALCULO DE ISR</t>
  </si>
  <si>
    <t>TARIFA DE SUBSIDIO</t>
  </si>
  <si>
    <t>PARA INGRESO DE</t>
  </si>
  <si>
    <t>HASTA INGRESO DE</t>
  </si>
  <si>
    <t>CANTIDAD DE SUBSIDIO</t>
  </si>
  <si>
    <t>SUELDO</t>
  </si>
  <si>
    <t>EXCENDENTE</t>
  </si>
  <si>
    <t>%</t>
  </si>
  <si>
    <t>TOTAL ISR</t>
  </si>
  <si>
    <t>SUBSIDIO</t>
  </si>
  <si>
    <t>TOTAL  A PAGAR</t>
  </si>
  <si>
    <t>CONCEPTO</t>
  </si>
  <si>
    <t>DEBE</t>
  </si>
  <si>
    <t>HABER</t>
  </si>
  <si>
    <t>SUMAS IGUALES</t>
  </si>
  <si>
    <t>MORY950309T70</t>
  </si>
  <si>
    <t>OASL951017RT2</t>
  </si>
  <si>
    <t>CASC950112ER5</t>
  </si>
  <si>
    <t>Omar Jimenez</t>
  </si>
  <si>
    <t>POLIZA N°1</t>
  </si>
  <si>
    <t>1)</t>
  </si>
  <si>
    <t>(1</t>
  </si>
  <si>
    <t>1203-0001</t>
  </si>
  <si>
    <t>TARJETA DE ALMACEN</t>
  </si>
  <si>
    <t>ARTICULO</t>
  </si>
  <si>
    <t>LIMITES REVISADOS EN:</t>
  </si>
  <si>
    <t>FECHA</t>
  </si>
  <si>
    <t>CASILLERO N°</t>
  </si>
  <si>
    <t>UNIDAD</t>
  </si>
  <si>
    <t>CALVE DEL ARTICULO</t>
  </si>
  <si>
    <t>PROVEEDOR</t>
  </si>
  <si>
    <t xml:space="preserve">       /       /</t>
  </si>
  <si>
    <t>MINIMO</t>
  </si>
  <si>
    <t>MAXIMO</t>
  </si>
  <si>
    <t xml:space="preserve">FACTURAN° </t>
  </si>
  <si>
    <t>UNIDADES</t>
  </si>
  <si>
    <t>ENTRADA</t>
  </si>
  <si>
    <t>SALIDA</t>
  </si>
  <si>
    <t>EXISTENCIA</t>
  </si>
  <si>
    <t>UNITARIO</t>
  </si>
  <si>
    <t>MEDIO</t>
  </si>
  <si>
    <t>VALORES</t>
  </si>
  <si>
    <t>SALDO</t>
  </si>
  <si>
    <t>COSTO</t>
  </si>
  <si>
    <t xml:space="preserve">     /        /</t>
  </si>
  <si>
    <t>N°.</t>
  </si>
  <si>
    <t>2)</t>
  </si>
  <si>
    <t>IVA PEN. DE ACREDITAR</t>
  </si>
  <si>
    <t>(2</t>
  </si>
  <si>
    <t>POLIZA N°2</t>
  </si>
  <si>
    <t>3)</t>
  </si>
  <si>
    <t>(3</t>
  </si>
  <si>
    <t>4)</t>
  </si>
  <si>
    <t>(4</t>
  </si>
  <si>
    <t>COMPRA</t>
  </si>
  <si>
    <t>VENTA</t>
  </si>
  <si>
    <t>COSTO DE VENTAS</t>
  </si>
  <si>
    <t>RET. IVA</t>
  </si>
  <si>
    <t>5102-0003</t>
  </si>
  <si>
    <t>HONORARIOS</t>
  </si>
  <si>
    <t>5102-0003-0001</t>
  </si>
  <si>
    <t>Angel Guillermo</t>
  </si>
  <si>
    <t>2104-0003</t>
  </si>
  <si>
    <t>GASTO DE VENTA</t>
  </si>
  <si>
    <t>POLIZA DE DIARIO</t>
  </si>
  <si>
    <t>COMPRAS</t>
  </si>
  <si>
    <t>GASTOS</t>
  </si>
  <si>
    <t>JUNIO</t>
  </si>
  <si>
    <t>MAS</t>
  </si>
  <si>
    <t>MENOS</t>
  </si>
  <si>
    <t>CHEQUES EN TRANSITO</t>
  </si>
  <si>
    <t>INGRESOS</t>
  </si>
  <si>
    <t xml:space="preserve">MAS </t>
  </si>
  <si>
    <t>IVA A FAVOR/A CARGO</t>
  </si>
  <si>
    <t>JULIO</t>
  </si>
  <si>
    <t>AGOSTO</t>
  </si>
  <si>
    <t>SEPTIEMBRE</t>
  </si>
  <si>
    <t>OCTUBRE</t>
  </si>
  <si>
    <t>NOVIEMBRE</t>
  </si>
  <si>
    <t>DICIEMBRE</t>
  </si>
  <si>
    <t>INGRESOS DEL PERIODO</t>
  </si>
  <si>
    <t>INGRESOS ACUMLABLES</t>
  </si>
  <si>
    <t>DEDUCCIONES AUTORIZADAS</t>
  </si>
  <si>
    <t>DEDUCCIONES ACUMULABLES</t>
  </si>
  <si>
    <t>UTILIDAD FISCAL</t>
  </si>
  <si>
    <t>PERDIDA POR AMORTIZAR</t>
  </si>
  <si>
    <t>UTILIDAD/PERDIDA</t>
  </si>
  <si>
    <t>EXCEDENTE DEL LIMITE</t>
  </si>
  <si>
    <t>IMPUESTO MARGINAL</t>
  </si>
  <si>
    <t>IMPUESTO A CARGO</t>
  </si>
  <si>
    <t>PAGOS PROVISIONALES</t>
  </si>
  <si>
    <t>PAGOS PROVISIONALES DE ISR</t>
  </si>
  <si>
    <t>DETERMINACION DE IMPUESTOS AL 31/12/14</t>
  </si>
  <si>
    <t>FOLIO DEL MAYOR</t>
  </si>
  <si>
    <t>NUMERO DE CUENTA</t>
  </si>
  <si>
    <t>BALANZA DE COMPROBACION</t>
  </si>
  <si>
    <t>MOVIMIENTOS</t>
  </si>
  <si>
    <t>SALDOS</t>
  </si>
  <si>
    <t>NOMBRE DE LA CUENTA</t>
  </si>
  <si>
    <t>CLAVE</t>
  </si>
  <si>
    <t>AJUSTES</t>
  </si>
  <si>
    <t>CARGOS</t>
  </si>
  <si>
    <t>ABONOS</t>
  </si>
  <si>
    <t>SALDOS AJUSTADOS</t>
  </si>
  <si>
    <t>PERDIDAS Y GANANCIAS</t>
  </si>
  <si>
    <t>BALANCE GENERAL</t>
  </si>
  <si>
    <t>ACTIVO</t>
  </si>
  <si>
    <t>PASIVO</t>
  </si>
  <si>
    <t>Hoja de Trabajo</t>
  </si>
  <si>
    <t>NOMBRE DEL ALUMNO</t>
  </si>
  <si>
    <t>TEMA</t>
  </si>
  <si>
    <t xml:space="preserve">         /           /</t>
  </si>
  <si>
    <t>NOMBRE DEL MAESTRO</t>
  </si>
  <si>
    <t>SALDO INICIAL</t>
  </si>
  <si>
    <t>DEUDOR</t>
  </si>
  <si>
    <t>ACREEDOR</t>
  </si>
  <si>
    <t>SALDO FINAL</t>
  </si>
  <si>
    <t>DEL 01/06/2014 AL 30/06/2014</t>
  </si>
  <si>
    <t>Almacen</t>
  </si>
  <si>
    <t>terrenos</t>
  </si>
  <si>
    <t>edificios</t>
  </si>
  <si>
    <t>rentas cobradas por anticipado</t>
  </si>
  <si>
    <t>capital</t>
  </si>
  <si>
    <t xml:space="preserve">2.- se pagaron </t>
  </si>
  <si>
    <t xml:space="preserve">mas iva con cheque para la instalacion </t>
  </si>
  <si>
    <t xml:space="preserve">3.- se compraron </t>
  </si>
  <si>
    <t xml:space="preserve">articulos en </t>
  </si>
  <si>
    <t>c/u mas iva a credito</t>
  </si>
  <si>
    <t xml:space="preserve">4.- las compras anteriores originaron gastos </t>
  </si>
  <si>
    <t>mas iva que se paga con cheque</t>
  </si>
  <si>
    <t xml:space="preserve">5.- se vendieron </t>
  </si>
  <si>
    <t>c/u a acredito</t>
  </si>
  <si>
    <t>mas iva el importe se pago con cheque</t>
  </si>
  <si>
    <t>7.- los clientes nos pagaron</t>
  </si>
  <si>
    <t>con cheque</t>
  </si>
  <si>
    <t>8.- se compraron</t>
  </si>
  <si>
    <t xml:space="preserve">10.- se vendieron </t>
  </si>
  <si>
    <t xml:space="preserve">cada uno, mas iva que nos pagan con cheque, por lo que hacemos un desucento del </t>
  </si>
  <si>
    <t>1.- Saldo de caja según arqueo</t>
  </si>
  <si>
    <t>la diferencia se debe al pago de recibo de telefono e iva , que no se nos reporto, aplica el</t>
  </si>
  <si>
    <t>2.- el saldo de la cuenta de bancos según estado de cuenta es de</t>
  </si>
  <si>
    <t>la diferencia se debe al importe que el banco nos desconto por concepto de impresión de chequera e iva</t>
  </si>
  <si>
    <t>3.- se estima incobrable el</t>
  </si>
  <si>
    <t xml:space="preserve"> de la cuenta de clientes</t>
  </si>
  <si>
    <t>4.- se estima el</t>
  </si>
  <si>
    <t>del aumento del valor sobre el valor de los terrenos</t>
  </si>
  <si>
    <t xml:space="preserve">5.- calcule el </t>
  </si>
  <si>
    <t xml:space="preserve"> de la depreciacion acumulada de edificio</t>
  </si>
  <si>
    <t>admon, y el</t>
  </si>
  <si>
    <t>al de ventas</t>
  </si>
  <si>
    <t>al departamento de ventas y</t>
  </si>
  <si>
    <t>a admon.</t>
  </si>
  <si>
    <t xml:space="preserve">6.- el inventario final de propaganda es de </t>
  </si>
  <si>
    <t>7.- de las rentas cobradas por anticipado se tienen ganadas</t>
  </si>
  <si>
    <t>8.- interes por pagar sobre cuentas vencidas a favor de proveedores</t>
  </si>
  <si>
    <t>mas iva</t>
  </si>
  <si>
    <t xml:space="preserve">9.- se deja pendiente de pago el recibo de la luz por </t>
  </si>
  <si>
    <t>mas iva aplica el</t>
  </si>
  <si>
    <t>a a dmon.</t>
  </si>
  <si>
    <t>al de ventas y el</t>
  </si>
  <si>
    <t xml:space="preserve">10.- calcule el </t>
  </si>
  <si>
    <t xml:space="preserve"> de amortizacion de gastos de instalacion y aplique el</t>
  </si>
  <si>
    <t>al area de ventas y el</t>
  </si>
  <si>
    <t>11.- realice el ajuste para determinar el iva a pagar o a favor</t>
  </si>
  <si>
    <t>Producto A</t>
  </si>
  <si>
    <t>1107-0001</t>
  </si>
  <si>
    <t>DEUDORES VIERSOS</t>
  </si>
  <si>
    <t>Cuenta puente</t>
  </si>
  <si>
    <t>ESTIMACIONES</t>
  </si>
  <si>
    <t>1109-0001</t>
  </si>
  <si>
    <t>De cobro dudoso</t>
  </si>
  <si>
    <t>1110-0001</t>
  </si>
  <si>
    <t>SUPERAVIT</t>
  </si>
  <si>
    <t>De terrenos</t>
  </si>
  <si>
    <t>TERRENOS</t>
  </si>
  <si>
    <t>Hectarea de 100x100</t>
  </si>
  <si>
    <t>EDIFICIOS</t>
  </si>
  <si>
    <t xml:space="preserve">Inmueble </t>
  </si>
  <si>
    <t>ACREEDORES</t>
  </si>
  <si>
    <t>2105-0001</t>
  </si>
  <si>
    <t>diversos</t>
  </si>
  <si>
    <t>2106-0001</t>
  </si>
  <si>
    <t>RENTAS COBRADAS</t>
  </si>
  <si>
    <t>Local 58</t>
  </si>
  <si>
    <t>2104-0004</t>
  </si>
  <si>
    <t>Iva a pagar</t>
  </si>
  <si>
    <t>3001-0001</t>
  </si>
  <si>
    <t>UTILIDAD DEL EJERCICIO</t>
  </si>
  <si>
    <t>Ejercicios anteriores</t>
  </si>
  <si>
    <t>GASTOS DE INSTALACION</t>
  </si>
  <si>
    <t>Acondicionamiento</t>
  </si>
  <si>
    <t>1204-0001</t>
  </si>
  <si>
    <t>PROPAGANDA</t>
  </si>
  <si>
    <t>Publicidad</t>
  </si>
  <si>
    <t>GASTOS DE VENTA</t>
  </si>
  <si>
    <t>G. D.V</t>
  </si>
  <si>
    <t>1111-0001</t>
  </si>
  <si>
    <t>Depreciacion acumulada</t>
  </si>
  <si>
    <t>Edificios</t>
  </si>
  <si>
    <t>1112-0001</t>
  </si>
  <si>
    <t>AMORTIZACION</t>
  </si>
  <si>
    <t>Gastos de instalacion</t>
  </si>
  <si>
    <t>OTROS GASTOS Y PRODUCTOS</t>
  </si>
  <si>
    <t>C.O</t>
  </si>
  <si>
    <t>6000-0001</t>
  </si>
  <si>
    <t>Rentas cobradas</t>
  </si>
  <si>
    <t>GASTOS Y PRODUCTOS</t>
  </si>
  <si>
    <t>6001-0001</t>
  </si>
  <si>
    <t xml:space="preserve">DEUDORES DIVERSOS </t>
  </si>
  <si>
    <t>ASIENTO DE APERTURA</t>
  </si>
  <si>
    <t>COMPRA DE 5 PRODUCTOS A $1,500</t>
  </si>
  <si>
    <t>GASTOS SOBRE COMPRA</t>
  </si>
  <si>
    <t>IVA PENDIENTE TRASLADAR</t>
  </si>
  <si>
    <t>VENTA DE 7 ARTICULOS EN 1,500</t>
  </si>
  <si>
    <t>GASTO</t>
  </si>
  <si>
    <t>6.- se contrato propaganda por</t>
  </si>
  <si>
    <t>5)</t>
  </si>
  <si>
    <t>(5</t>
  </si>
  <si>
    <t>6)</t>
  </si>
  <si>
    <t>CONTRATACIO DE PROPAGANDA</t>
  </si>
  <si>
    <t>(6</t>
  </si>
  <si>
    <t>7)</t>
  </si>
  <si>
    <t>(7</t>
  </si>
  <si>
    <t>COBRO A CLIENTE</t>
  </si>
  <si>
    <t>8)</t>
  </si>
  <si>
    <t xml:space="preserve">c/u mas iva con cheque por lo que hacen un descuento del </t>
  </si>
  <si>
    <t>(8</t>
  </si>
  <si>
    <t>COMPRA DE 3 PRODUCTOS A 1,800</t>
  </si>
  <si>
    <t xml:space="preserve">9.- un cliente nos devolvio un articulo por mal estado el importe se abona a su adeudo, el costo de la devolucion es de </t>
  </si>
  <si>
    <t>9)</t>
  </si>
  <si>
    <t>(9</t>
  </si>
  <si>
    <t>DEVOLUCION</t>
  </si>
  <si>
    <t>DEVOLUCION DE UN CLIENTE</t>
  </si>
  <si>
    <t>(10</t>
  </si>
  <si>
    <t>10)</t>
  </si>
  <si>
    <t>VENTA DE 5 ARTICULOS EN 5,800</t>
  </si>
  <si>
    <t>A1)</t>
  </si>
  <si>
    <t>(A1</t>
  </si>
  <si>
    <t>GASTO Y PRODUCTO FINANCIERO</t>
  </si>
  <si>
    <t>A2)</t>
  </si>
  <si>
    <t>A)1</t>
  </si>
  <si>
    <t>A)2</t>
  </si>
  <si>
    <t>(A2</t>
  </si>
  <si>
    <t>EST. COBRO DUDOSO</t>
  </si>
  <si>
    <t>A3)</t>
  </si>
  <si>
    <t>(A3</t>
  </si>
  <si>
    <t>(A4</t>
  </si>
  <si>
    <t>A4)</t>
  </si>
  <si>
    <t>DEPRE. ACUMU. EDIFICIO</t>
  </si>
  <si>
    <t>(A5</t>
  </si>
  <si>
    <t>A5)</t>
  </si>
  <si>
    <t>A6)</t>
  </si>
  <si>
    <t>OTR. GAS Y PRODUC. FINA</t>
  </si>
  <si>
    <t>(A7</t>
  </si>
  <si>
    <t>A7)</t>
  </si>
  <si>
    <t>ACREEDORES DIVERSOS</t>
  </si>
  <si>
    <t>A8)</t>
  </si>
  <si>
    <t>(A8</t>
  </si>
  <si>
    <t>GASTOS D EVENTA</t>
  </si>
  <si>
    <t>A9)</t>
  </si>
  <si>
    <t>(A9</t>
  </si>
  <si>
    <t>A10)</t>
  </si>
  <si>
    <t>IVA POR PAGAR</t>
  </si>
  <si>
    <t>A11)</t>
  </si>
  <si>
    <t>(A11</t>
  </si>
  <si>
    <t>AMORTI. ACUMULADA</t>
  </si>
  <si>
    <t>(A10</t>
  </si>
  <si>
    <t>5103-0001</t>
  </si>
  <si>
    <t>5103-0002</t>
  </si>
  <si>
    <t>5103-0002-0001</t>
  </si>
  <si>
    <t>5103-0003</t>
  </si>
  <si>
    <t>5103-0003-0001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</si>
</sst>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"/>
    <numFmt numFmtId="165" formatCode="#,##0.00000"/>
    <numFmt numFmtId="166" formatCode="0.0"/>
    <numFmt numFmtId="167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6"/>
      <color theme="5" tint="-0.249977111117893"/>
      <name val="Calibri"/>
      <family val="2"/>
      <scheme val="minor"/>
    </font>
    <font>
      <sz val="8"/>
      <color rgb="FF00B05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CCFF9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2">
    <xf numFmtId="0" fontId="0" fillId="0" borderId="0" xfId="0"/>
    <xf numFmtId="164" fontId="0" fillId="0" borderId="0" xfId="0" applyNumberFormat="1"/>
    <xf numFmtId="4" fontId="0" fillId="0" borderId="0" xfId="0" applyNumberFormat="1"/>
    <xf numFmtId="0" fontId="0" fillId="0" borderId="0" xfId="0" applyBorder="1"/>
    <xf numFmtId="0" fontId="0" fillId="0" borderId="0" xfId="0" applyFill="1" applyBorder="1"/>
    <xf numFmtId="0" fontId="1" fillId="0" borderId="0" xfId="0" applyFont="1"/>
    <xf numFmtId="4" fontId="0" fillId="0" borderId="0" xfId="0" applyNumberForma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9" xfId="0" applyFill="1" applyBorder="1"/>
    <xf numFmtId="0" fontId="0" fillId="2" borderId="8" xfId="0" applyFill="1" applyBorder="1"/>
    <xf numFmtId="4" fontId="0" fillId="2" borderId="9" xfId="0" applyNumberFormat="1" applyFill="1" applyBorder="1"/>
    <xf numFmtId="0" fontId="0" fillId="2" borderId="10" xfId="0" applyFill="1" applyBorder="1"/>
    <xf numFmtId="0" fontId="0" fillId="3" borderId="15" xfId="0" applyFill="1" applyBorder="1"/>
    <xf numFmtId="0" fontId="0" fillId="3" borderId="3" xfId="0" applyFill="1" applyBorder="1"/>
    <xf numFmtId="14" fontId="0" fillId="3" borderId="5" xfId="0" applyNumberFormat="1" applyFill="1" applyBorder="1"/>
    <xf numFmtId="0" fontId="0" fillId="3" borderId="5" xfId="0" applyFill="1" applyBorder="1"/>
    <xf numFmtId="0" fontId="0" fillId="3" borderId="6" xfId="0" applyFill="1" applyBorder="1"/>
    <xf numFmtId="4" fontId="0" fillId="3" borderId="6" xfId="0" applyNumberFormat="1" applyFill="1" applyBorder="1"/>
    <xf numFmtId="0" fontId="0" fillId="3" borderId="11" xfId="0" applyFill="1" applyBorder="1"/>
    <xf numFmtId="14" fontId="0" fillId="3" borderId="6" xfId="0" applyNumberFormat="1" applyFill="1" applyBorder="1"/>
    <xf numFmtId="0" fontId="0" fillId="3" borderId="16" xfId="0" applyFill="1" applyBorder="1"/>
    <xf numFmtId="0" fontId="0" fillId="3" borderId="4" xfId="0" applyFill="1" applyBorder="1"/>
    <xf numFmtId="14" fontId="0" fillId="3" borderId="7" xfId="0" applyNumberFormat="1" applyFill="1" applyBorder="1"/>
    <xf numFmtId="0" fontId="0" fillId="3" borderId="7" xfId="0" applyFill="1" applyBorder="1"/>
    <xf numFmtId="4" fontId="0" fillId="3" borderId="7" xfId="0" applyNumberFormat="1" applyFill="1" applyBorder="1"/>
    <xf numFmtId="0" fontId="0" fillId="3" borderId="12" xfId="0" applyFill="1" applyBorder="1"/>
    <xf numFmtId="0" fontId="0" fillId="4" borderId="0" xfId="0" applyFill="1"/>
    <xf numFmtId="0" fontId="0" fillId="0" borderId="0" xfId="0" applyFill="1"/>
    <xf numFmtId="10" fontId="0" fillId="0" borderId="0" xfId="0" applyNumberFormat="1"/>
    <xf numFmtId="2" fontId="0" fillId="0" borderId="0" xfId="0" applyNumberFormat="1"/>
    <xf numFmtId="2" fontId="0" fillId="3" borderId="6" xfId="0" applyNumberFormat="1" applyFill="1" applyBorder="1"/>
    <xf numFmtId="165" fontId="0" fillId="0" borderId="0" xfId="0" applyNumberFormat="1"/>
    <xf numFmtId="0" fontId="2" fillId="0" borderId="0" xfId="0" applyFont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0" borderId="0" xfId="0" applyAlignment="1">
      <alignment horizontal="center"/>
    </xf>
    <xf numFmtId="0" fontId="0" fillId="6" borderId="0" xfId="0" applyFill="1" applyBorder="1"/>
    <xf numFmtId="0" fontId="0" fillId="5" borderId="2" xfId="0" applyFill="1" applyBorder="1"/>
    <xf numFmtId="0" fontId="0" fillId="5" borderId="9" xfId="0" applyFill="1" applyBorder="1"/>
    <xf numFmtId="0" fontId="0" fillId="5" borderId="5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/>
    <xf numFmtId="4" fontId="0" fillId="0" borderId="26" xfId="0" applyNumberFormat="1" applyBorder="1"/>
    <xf numFmtId="4" fontId="0" fillId="0" borderId="27" xfId="0" applyNumberFormat="1" applyBorder="1"/>
    <xf numFmtId="4" fontId="0" fillId="0" borderId="25" xfId="0" applyNumberFormat="1" applyBorder="1"/>
    <xf numFmtId="4" fontId="0" fillId="0" borderId="0" xfId="0" applyNumberFormat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Border="1"/>
    <xf numFmtId="4" fontId="0" fillId="5" borderId="20" xfId="0" applyNumberFormat="1" applyFill="1" applyBorder="1"/>
    <xf numFmtId="4" fontId="0" fillId="7" borderId="24" xfId="0" applyNumberFormat="1" applyFill="1" applyBorder="1"/>
    <xf numFmtId="4" fontId="0" fillId="5" borderId="11" xfId="0" applyNumberFormat="1" applyFill="1" applyBorder="1"/>
    <xf numFmtId="4" fontId="0" fillId="7" borderId="23" xfId="0" applyNumberFormat="1" applyFill="1" applyBorder="1"/>
    <xf numFmtId="4" fontId="0" fillId="5" borderId="12" xfId="0" applyNumberFormat="1" applyFill="1" applyBorder="1"/>
    <xf numFmtId="4" fontId="0" fillId="7" borderId="21" xfId="0" applyNumberFormat="1" applyFill="1" applyBorder="1"/>
    <xf numFmtId="4" fontId="0" fillId="5" borderId="17" xfId="0" applyNumberFormat="1" applyFill="1" applyBorder="1"/>
    <xf numFmtId="0" fontId="0" fillId="5" borderId="19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3" fillId="0" borderId="31" xfId="0" applyFont="1" applyBorder="1"/>
    <xf numFmtId="0" fontId="3" fillId="0" borderId="30" xfId="0" applyFont="1" applyBorder="1"/>
    <xf numFmtId="0" fontId="0" fillId="0" borderId="33" xfId="0" applyBorder="1"/>
    <xf numFmtId="0" fontId="3" fillId="0" borderId="28" xfId="0" applyFont="1" applyBorder="1"/>
    <xf numFmtId="0" fontId="0" fillId="8" borderId="27" xfId="0" applyFill="1" applyBorder="1"/>
    <xf numFmtId="0" fontId="0" fillId="8" borderId="0" xfId="0" applyFill="1"/>
    <xf numFmtId="0" fontId="0" fillId="8" borderId="6" xfId="0" applyFill="1" applyBorder="1"/>
    <xf numFmtId="0" fontId="3" fillId="0" borderId="0" xfId="0" applyFont="1" applyBorder="1" applyAlignment="1"/>
    <xf numFmtId="0" fontId="3" fillId="0" borderId="34" xfId="0" applyFont="1" applyBorder="1" applyAlignment="1">
      <alignment horizontal="center"/>
    </xf>
    <xf numFmtId="0" fontId="0" fillId="0" borderId="29" xfId="0" applyBorder="1" applyAlignment="1"/>
    <xf numFmtId="0" fontId="3" fillId="0" borderId="28" xfId="0" applyFont="1" applyBorder="1" applyAlignment="1">
      <alignment horizontal="center"/>
    </xf>
    <xf numFmtId="0" fontId="0" fillId="0" borderId="27" xfId="0" applyFill="1" applyBorder="1"/>
    <xf numFmtId="0" fontId="0" fillId="0" borderId="6" xfId="0" applyFill="1" applyBorder="1"/>
    <xf numFmtId="4" fontId="0" fillId="8" borderId="27" xfId="0" applyNumberFormat="1" applyFill="1" applyBorder="1"/>
    <xf numFmtId="4" fontId="0" fillId="8" borderId="0" xfId="0" applyNumberFormat="1" applyFill="1"/>
    <xf numFmtId="4" fontId="0" fillId="8" borderId="6" xfId="0" applyNumberFormat="1" applyFill="1" applyBorder="1"/>
    <xf numFmtId="4" fontId="0" fillId="0" borderId="27" xfId="0" applyNumberFormat="1" applyFill="1" applyBorder="1"/>
    <xf numFmtId="4" fontId="0" fillId="0" borderId="0" xfId="0" applyNumberFormat="1" applyFill="1"/>
    <xf numFmtId="4" fontId="0" fillId="0" borderId="6" xfId="0" applyNumberFormat="1" applyFill="1" applyBorder="1"/>
    <xf numFmtId="0" fontId="0" fillId="5" borderId="22" xfId="0" applyFill="1" applyBorder="1" applyAlignment="1">
      <alignment horizontal="center"/>
    </xf>
    <xf numFmtId="0" fontId="0" fillId="9" borderId="2" xfId="0" applyFill="1" applyBorder="1"/>
    <xf numFmtId="0" fontId="0" fillId="9" borderId="9" xfId="0" applyFill="1" applyBorder="1" applyAlignment="1">
      <alignment horizontal="center"/>
    </xf>
    <xf numFmtId="0" fontId="0" fillId="9" borderId="9" xfId="0" applyFill="1" applyBorder="1"/>
    <xf numFmtId="0" fontId="0" fillId="9" borderId="22" xfId="0" applyFill="1" applyBorder="1"/>
    <xf numFmtId="0" fontId="0" fillId="9" borderId="18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6" xfId="0" applyFill="1" applyBorder="1"/>
    <xf numFmtId="4" fontId="0" fillId="9" borderId="11" xfId="0" applyNumberFormat="1" applyFill="1" applyBorder="1"/>
    <xf numFmtId="4" fontId="0" fillId="9" borderId="23" xfId="0" applyNumberFormat="1" applyFill="1" applyBorder="1"/>
    <xf numFmtId="4" fontId="0" fillId="5" borderId="16" xfId="0" applyNumberFormat="1" applyFill="1" applyBorder="1"/>
    <xf numFmtId="4" fontId="0" fillId="0" borderId="32" xfId="0" applyNumberFormat="1" applyBorder="1"/>
    <xf numFmtId="0" fontId="0" fillId="9" borderId="27" xfId="0" applyFill="1" applyBorder="1"/>
    <xf numFmtId="0" fontId="0" fillId="9" borderId="3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Fill="1" applyBorder="1"/>
    <xf numFmtId="4" fontId="0" fillId="0" borderId="20" xfId="0" applyNumberFormat="1" applyFill="1" applyBorder="1"/>
    <xf numFmtId="4" fontId="0" fillId="0" borderId="24" xfId="0" applyNumberFormat="1" applyFill="1" applyBorder="1"/>
    <xf numFmtId="0" fontId="0" fillId="0" borderId="6" xfId="0" applyFill="1" applyBorder="1" applyAlignment="1">
      <alignment horizontal="center"/>
    </xf>
    <xf numFmtId="4" fontId="0" fillId="0" borderId="11" xfId="0" applyNumberFormat="1" applyFill="1" applyBorder="1"/>
    <xf numFmtId="4" fontId="0" fillId="0" borderId="23" xfId="0" applyNumberFormat="1" applyFill="1" applyBorder="1"/>
    <xf numFmtId="0" fontId="0" fillId="0" borderId="19" xfId="0" applyFill="1" applyBorder="1" applyAlignment="1">
      <alignment horizontal="center"/>
    </xf>
    <xf numFmtId="0" fontId="0" fillId="0" borderId="7" xfId="0" applyFill="1" applyBorder="1"/>
    <xf numFmtId="4" fontId="0" fillId="0" borderId="12" xfId="0" applyNumberFormat="1" applyFill="1" applyBorder="1"/>
    <xf numFmtId="4" fontId="0" fillId="0" borderId="21" xfId="0" applyNumberFormat="1" applyFill="1" applyBorder="1"/>
    <xf numFmtId="0" fontId="4" fillId="0" borderId="0" xfId="0" applyFont="1" applyBorder="1"/>
    <xf numFmtId="0" fontId="0" fillId="10" borderId="0" xfId="0" applyFill="1"/>
    <xf numFmtId="0" fontId="4" fillId="0" borderId="37" xfId="0" applyFont="1" applyBorder="1"/>
    <xf numFmtId="0" fontId="0" fillId="0" borderId="28" xfId="0" applyBorder="1"/>
    <xf numFmtId="0" fontId="0" fillId="0" borderId="26" xfId="0" applyFill="1" applyBorder="1"/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7" xfId="0" applyFill="1" applyBorder="1"/>
    <xf numFmtId="0" fontId="0" fillId="0" borderId="27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6" fillId="0" borderId="0" xfId="0" applyFont="1"/>
    <xf numFmtId="0" fontId="0" fillId="0" borderId="32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36" xfId="0" applyBorder="1"/>
    <xf numFmtId="0" fontId="0" fillId="11" borderId="0" xfId="0" applyFill="1"/>
    <xf numFmtId="0" fontId="0" fillId="1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7" fillId="13" borderId="28" xfId="0" applyFont="1" applyFill="1" applyBorder="1" applyAlignment="1">
      <alignment horizontal="center" wrapText="1"/>
    </xf>
    <xf numFmtId="0" fontId="7" fillId="13" borderId="5" xfId="0" applyFont="1" applyFill="1" applyBorder="1" applyAlignment="1">
      <alignment horizontal="center" wrapText="1"/>
    </xf>
    <xf numFmtId="0" fontId="0" fillId="14" borderId="28" xfId="0" applyFill="1" applyBorder="1"/>
    <xf numFmtId="0" fontId="0" fillId="14" borderId="28" xfId="0" applyFill="1" applyBorder="1" applyAlignment="1">
      <alignment horizontal="center" wrapText="1"/>
    </xf>
    <xf numFmtId="0" fontId="7" fillId="13" borderId="26" xfId="0" applyFont="1" applyFill="1" applyBorder="1" applyAlignment="1">
      <alignment horizontal="center" wrapText="1"/>
    </xf>
    <xf numFmtId="0" fontId="0" fillId="14" borderId="33" xfId="0" applyFill="1" applyBorder="1"/>
    <xf numFmtId="0" fontId="0" fillId="14" borderId="0" xfId="0" applyFill="1" applyBorder="1"/>
    <xf numFmtId="0" fontId="0" fillId="14" borderId="27" xfId="0" applyFill="1" applyBorder="1"/>
    <xf numFmtId="0" fontId="0" fillId="14" borderId="6" xfId="0" applyFill="1" applyBorder="1" applyAlignment="1">
      <alignment horizontal="center" wrapText="1"/>
    </xf>
    <xf numFmtId="0" fontId="0" fillId="14" borderId="6" xfId="0" applyFill="1" applyBorder="1"/>
    <xf numFmtId="0" fontId="0" fillId="14" borderId="26" xfId="0" applyFill="1" applyBorder="1"/>
    <xf numFmtId="0" fontId="0" fillId="14" borderId="40" xfId="0" applyFill="1" applyBorder="1"/>
    <xf numFmtId="0" fontId="0" fillId="14" borderId="35" xfId="0" applyFill="1" applyBorder="1"/>
    <xf numFmtId="0" fontId="0" fillId="14" borderId="25" xfId="0" applyFill="1" applyBorder="1"/>
    <xf numFmtId="0" fontId="4" fillId="14" borderId="29" xfId="0" applyFont="1" applyFill="1" applyBorder="1" applyAlignment="1"/>
    <xf numFmtId="0" fontId="10" fillId="0" borderId="0" xfId="0" applyFont="1"/>
    <xf numFmtId="0" fontId="8" fillId="0" borderId="0" xfId="0" applyFont="1" applyAlignment="1">
      <alignment horizontal="left"/>
    </xf>
    <xf numFmtId="0" fontId="0" fillId="0" borderId="0" xfId="0" applyNumberFormat="1" applyAlignment="1">
      <alignment horizontal="right"/>
    </xf>
    <xf numFmtId="9" fontId="0" fillId="0" borderId="0" xfId="0" applyNumberFormat="1"/>
    <xf numFmtId="166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0" fontId="0" fillId="9" borderId="27" xfId="0" applyFill="1" applyBorder="1" applyAlignment="1">
      <alignment horizontal="center"/>
    </xf>
    <xf numFmtId="0" fontId="0" fillId="9" borderId="41" xfId="0" applyFill="1" applyBorder="1"/>
    <xf numFmtId="0" fontId="0" fillId="0" borderId="0" xfId="0" applyFill="1" applyBorder="1" applyAlignment="1">
      <alignment horizontal="center"/>
    </xf>
    <xf numFmtId="3" fontId="0" fillId="0" borderId="26" xfId="0" applyNumberFormat="1" applyBorder="1"/>
    <xf numFmtId="3" fontId="0" fillId="5" borderId="11" xfId="0" applyNumberFormat="1" applyFill="1" applyBorder="1"/>
    <xf numFmtId="3" fontId="0" fillId="7" borderId="23" xfId="0" applyNumberFormat="1" applyFill="1" applyBorder="1"/>
    <xf numFmtId="3" fontId="0" fillId="5" borderId="17" xfId="0" applyNumberFormat="1" applyFill="1" applyBorder="1"/>
    <xf numFmtId="3" fontId="0" fillId="0" borderId="27" xfId="0" applyNumberFormat="1" applyBorder="1"/>
    <xf numFmtId="3" fontId="0" fillId="5" borderId="16" xfId="0" applyNumberFormat="1" applyFill="1" applyBorder="1"/>
    <xf numFmtId="0" fontId="0" fillId="9" borderId="42" xfId="0" applyFill="1" applyBorder="1" applyAlignment="1">
      <alignment horizontal="center"/>
    </xf>
    <xf numFmtId="3" fontId="0" fillId="0" borderId="32" xfId="0" applyNumberFormat="1" applyBorder="1" applyAlignment="1"/>
    <xf numFmtId="14" fontId="0" fillId="8" borderId="26" xfId="0" applyNumberFormat="1" applyFill="1" applyBorder="1"/>
    <xf numFmtId="4" fontId="0" fillId="8" borderId="26" xfId="0" applyNumberFormat="1" applyFill="1" applyBorder="1"/>
    <xf numFmtId="0" fontId="0" fillId="8" borderId="5" xfId="0" applyFill="1" applyBorder="1"/>
    <xf numFmtId="0" fontId="0" fillId="0" borderId="6" xfId="0" applyBorder="1"/>
    <xf numFmtId="4" fontId="0" fillId="8" borderId="5" xfId="0" applyNumberFormat="1" applyFill="1" applyBorder="1"/>
    <xf numFmtId="0" fontId="0" fillId="0" borderId="44" xfId="0" applyBorder="1"/>
    <xf numFmtId="0" fontId="0" fillId="0" borderId="43" xfId="0" applyBorder="1"/>
    <xf numFmtId="3" fontId="0" fillId="5" borderId="20" xfId="0" applyNumberFormat="1" applyFill="1" applyBorder="1"/>
    <xf numFmtId="4" fontId="0" fillId="0" borderId="31" xfId="0" applyNumberFormat="1" applyBorder="1"/>
    <xf numFmtId="4" fontId="0" fillId="0" borderId="30" xfId="0" applyNumberFormat="1" applyBorder="1"/>
    <xf numFmtId="4" fontId="0" fillId="0" borderId="36" xfId="0" applyNumberFormat="1" applyBorder="1"/>
    <xf numFmtId="1" fontId="0" fillId="8" borderId="6" xfId="0" applyNumberFormat="1" applyFill="1" applyBorder="1"/>
    <xf numFmtId="3" fontId="0" fillId="8" borderId="0" xfId="0" applyNumberFormat="1" applyFill="1"/>
    <xf numFmtId="3" fontId="0" fillId="0" borderId="25" xfId="0" applyNumberFormat="1" applyBorder="1"/>
    <xf numFmtId="3" fontId="0" fillId="0" borderId="30" xfId="0" applyNumberFormat="1" applyBorder="1"/>
    <xf numFmtId="3" fontId="0" fillId="0" borderId="32" xfId="0" applyNumberFormat="1" applyBorder="1"/>
    <xf numFmtId="1" fontId="0" fillId="0" borderId="0" xfId="0" applyNumberFormat="1"/>
    <xf numFmtId="3" fontId="0" fillId="0" borderId="36" xfId="0" applyNumberFormat="1" applyBorder="1"/>
    <xf numFmtId="1" fontId="0" fillId="0" borderId="26" xfId="0" applyNumberFormat="1" applyBorder="1"/>
    <xf numFmtId="1" fontId="0" fillId="0" borderId="27" xfId="0" applyNumberFormat="1" applyBorder="1"/>
    <xf numFmtId="3" fontId="0" fillId="0" borderId="0" xfId="0" applyNumberFormat="1" applyBorder="1"/>
    <xf numFmtId="0" fontId="0" fillId="0" borderId="0" xfId="0" applyAlignment="1">
      <alignment horizontal="center"/>
    </xf>
    <xf numFmtId="3" fontId="0" fillId="0" borderId="31" xfId="0" applyNumberFormat="1" applyBorder="1"/>
    <xf numFmtId="1" fontId="0" fillId="0" borderId="32" xfId="0" applyNumberFormat="1" applyBorder="1"/>
    <xf numFmtId="3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3" fontId="11" fillId="0" borderId="0" xfId="0" applyNumberFormat="1" applyFont="1" applyFill="1" applyAlignment="1">
      <alignment horizontal="right"/>
    </xf>
    <xf numFmtId="3" fontId="11" fillId="0" borderId="0" xfId="0" applyNumberFormat="1" applyFont="1" applyAlignment="1">
      <alignment horizontal="right"/>
    </xf>
    <xf numFmtId="4" fontId="0" fillId="0" borderId="25" xfId="0" applyNumberFormat="1" applyBorder="1" applyAlignment="1"/>
    <xf numFmtId="4" fontId="0" fillId="0" borderId="25" xfId="0" applyNumberFormat="1" applyBorder="1" applyAlignment="1">
      <alignment vertical="center"/>
    </xf>
    <xf numFmtId="3" fontId="0" fillId="14" borderId="28" xfId="0" applyNumberFormat="1" applyFill="1" applyBorder="1"/>
    <xf numFmtId="1" fontId="0" fillId="14" borderId="28" xfId="0" applyNumberFormat="1" applyFill="1" applyBorder="1"/>
    <xf numFmtId="4" fontId="0" fillId="14" borderId="28" xfId="0" applyNumberFormat="1" applyFill="1" applyBorder="1"/>
    <xf numFmtId="167" fontId="0" fillId="14" borderId="28" xfId="0" applyNumberFormat="1" applyFill="1" applyBorder="1"/>
    <xf numFmtId="0" fontId="0" fillId="14" borderId="0" xfId="0" applyFill="1"/>
    <xf numFmtId="0" fontId="1" fillId="14" borderId="28" xfId="0" applyFont="1" applyFill="1" applyBorder="1" applyAlignment="1">
      <alignment horizontal="center" wrapText="1"/>
    </xf>
    <xf numFmtId="0" fontId="1" fillId="14" borderId="28" xfId="0" applyFont="1" applyFill="1" applyBorder="1"/>
    <xf numFmtId="3" fontId="1" fillId="14" borderId="28" xfId="0" applyNumberFormat="1" applyFont="1" applyFill="1" applyBorder="1"/>
    <xf numFmtId="0" fontId="0" fillId="14" borderId="28" xfId="0" applyFill="1" applyBorder="1" applyAlignment="1">
      <alignment horizontal="right"/>
    </xf>
    <xf numFmtId="3" fontId="0" fillId="0" borderId="34" xfId="0" applyNumberFormat="1" applyBorder="1"/>
    <xf numFmtId="3" fontId="0" fillId="11" borderId="0" xfId="0" applyNumberFormat="1" applyFill="1"/>
    <xf numFmtId="3" fontId="0" fillId="12" borderId="0" xfId="0" applyNumberFormat="1" applyFill="1"/>
    <xf numFmtId="3" fontId="0" fillId="0" borderId="40" xfId="0" applyNumberFormat="1" applyBorder="1"/>
    <xf numFmtId="3" fontId="0" fillId="0" borderId="35" xfId="0" applyNumberFormat="1" applyBorder="1"/>
    <xf numFmtId="0" fontId="0" fillId="0" borderId="5" xfId="0" applyBorder="1"/>
    <xf numFmtId="0" fontId="0" fillId="0" borderId="0" xfId="0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9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5" xfId="0" applyBorder="1" applyAlignment="1">
      <alignment horizontal="center"/>
    </xf>
    <xf numFmtId="0" fontId="3" fillId="0" borderId="2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5" xfId="0" applyFont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3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4" fontId="0" fillId="0" borderId="25" xfId="0" applyNumberFormat="1" applyBorder="1" applyAlignment="1">
      <alignment horizontal="center"/>
    </xf>
    <xf numFmtId="0" fontId="8" fillId="14" borderId="34" xfId="0" applyFont="1" applyFill="1" applyBorder="1" applyAlignment="1">
      <alignment horizontal="center" vertical="center"/>
    </xf>
    <xf numFmtId="0" fontId="8" fillId="14" borderId="26" xfId="0" applyFont="1" applyFill="1" applyBorder="1" applyAlignment="1">
      <alignment horizontal="center" vertical="center"/>
    </xf>
    <xf numFmtId="0" fontId="8" fillId="14" borderId="35" xfId="0" applyFont="1" applyFill="1" applyBorder="1" applyAlignment="1">
      <alignment horizontal="center" vertical="center"/>
    </xf>
    <xf numFmtId="0" fontId="8" fillId="14" borderId="36" xfId="0" applyFont="1" applyFill="1" applyBorder="1" applyAlignment="1">
      <alignment horizontal="center" vertical="center"/>
    </xf>
    <xf numFmtId="0" fontId="8" fillId="14" borderId="0" xfId="0" applyFont="1" applyFill="1" applyAlignment="1">
      <alignment horizontal="center" vertical="center"/>
    </xf>
    <xf numFmtId="0" fontId="9" fillId="0" borderId="0" xfId="0" applyFont="1" applyAlignment="1">
      <alignment horizontal="left"/>
    </xf>
    <xf numFmtId="0" fontId="8" fillId="14" borderId="29" xfId="0" applyFont="1" applyFill="1" applyBorder="1" applyAlignment="1">
      <alignment horizontal="center"/>
    </xf>
    <xf numFmtId="0" fontId="8" fillId="14" borderId="31" xfId="0" applyFont="1" applyFill="1" applyBorder="1" applyAlignment="1">
      <alignment horizontal="center"/>
    </xf>
    <xf numFmtId="0" fontId="0" fillId="14" borderId="25" xfId="0" applyFill="1" applyBorder="1" applyAlignment="1">
      <alignment horizontal="center"/>
    </xf>
    <xf numFmtId="0" fontId="0" fillId="14" borderId="30" xfId="0" applyFill="1" applyBorder="1" applyAlignment="1">
      <alignment horizontal="center"/>
    </xf>
    <xf numFmtId="0" fontId="0" fillId="14" borderId="0" xfId="0" applyFill="1" applyAlignment="1">
      <alignment horizontal="center"/>
    </xf>
    <xf numFmtId="0" fontId="4" fillId="14" borderId="25" xfId="0" applyFont="1" applyFill="1" applyBorder="1" applyAlignment="1">
      <alignment horizontal="left"/>
    </xf>
    <xf numFmtId="0" fontId="8" fillId="14" borderId="35" xfId="0" applyFont="1" applyFill="1" applyBorder="1" applyAlignment="1">
      <alignment horizontal="center" vertical="top" wrapText="1"/>
    </xf>
    <xf numFmtId="0" fontId="8" fillId="14" borderId="25" xfId="0" applyFont="1" applyFill="1" applyBorder="1" applyAlignment="1">
      <alignment horizontal="center" vertical="top" wrapText="1"/>
    </xf>
    <xf numFmtId="0" fontId="8" fillId="14" borderId="36" xfId="0" applyFont="1" applyFill="1" applyBorder="1" applyAlignment="1">
      <alignment horizontal="center" vertical="top" wrapText="1"/>
    </xf>
    <xf numFmtId="0" fontId="8" fillId="14" borderId="27" xfId="0" applyFont="1" applyFill="1" applyBorder="1" applyAlignment="1">
      <alignment horizontal="center" wrapText="1"/>
    </xf>
    <xf numFmtId="0" fontId="8" fillId="14" borderId="36" xfId="0" applyFont="1" applyFill="1" applyBorder="1" applyAlignment="1">
      <alignment horizontal="center" wrapText="1"/>
    </xf>
    <xf numFmtId="0" fontId="8" fillId="14" borderId="6" xfId="0" applyFont="1" applyFill="1" applyBorder="1" applyAlignment="1">
      <alignment horizontal="center" vertical="center"/>
    </xf>
    <xf numFmtId="0" fontId="8" fillId="14" borderId="33" xfId="0" applyFont="1" applyFill="1" applyBorder="1" applyAlignment="1">
      <alignment horizontal="center" vertical="center"/>
    </xf>
    <xf numFmtId="0" fontId="8" fillId="14" borderId="6" xfId="0" applyFont="1" applyFill="1" applyBorder="1" applyAlignment="1">
      <alignment horizontal="center" vertical="center" wrapText="1"/>
    </xf>
    <xf numFmtId="0" fontId="8" fillId="14" borderId="33" xfId="0" applyFont="1" applyFill="1" applyBorder="1" applyAlignment="1">
      <alignment horizontal="center" vertical="center" wrapText="1"/>
    </xf>
    <xf numFmtId="0" fontId="4" fillId="14" borderId="0" xfId="0" applyFont="1" applyFill="1" applyAlignment="1">
      <alignment horizontal="left"/>
    </xf>
    <xf numFmtId="0" fontId="4" fillId="14" borderId="30" xfId="0" applyFont="1" applyFill="1" applyBorder="1" applyAlignment="1">
      <alignment horizontal="left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</xdr:row>
      <xdr:rowOff>0</xdr:rowOff>
    </xdr:from>
    <xdr:to>
      <xdr:col>3</xdr:col>
      <xdr:colOff>9525</xdr:colOff>
      <xdr:row>15</xdr:row>
      <xdr:rowOff>180975</xdr:rowOff>
    </xdr:to>
    <xdr:sp macro="" textlink="">
      <xdr:nvSpPr>
        <xdr:cNvPr id="2" name="Rectángulo redondeado 1"/>
        <xdr:cNvSpPr/>
      </xdr:nvSpPr>
      <xdr:spPr>
        <a:xfrm>
          <a:off x="771525" y="1228724"/>
          <a:ext cx="1524000" cy="1895476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9525</xdr:colOff>
      <xdr:row>6</xdr:row>
      <xdr:rowOff>19049</xdr:rowOff>
    </xdr:from>
    <xdr:to>
      <xdr:col>6</xdr:col>
      <xdr:colOff>0</xdr:colOff>
      <xdr:row>15</xdr:row>
      <xdr:rowOff>180974</xdr:rowOff>
    </xdr:to>
    <xdr:sp macro="" textlink="">
      <xdr:nvSpPr>
        <xdr:cNvPr id="3" name="Rectángulo redondeado 2"/>
        <xdr:cNvSpPr/>
      </xdr:nvSpPr>
      <xdr:spPr>
        <a:xfrm>
          <a:off x="2295525" y="1247774"/>
          <a:ext cx="2371725" cy="187642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19050</xdr:colOff>
      <xdr:row>6</xdr:row>
      <xdr:rowOff>9525</xdr:rowOff>
    </xdr:from>
    <xdr:to>
      <xdr:col>8</xdr:col>
      <xdr:colOff>0</xdr:colOff>
      <xdr:row>15</xdr:row>
      <xdr:rowOff>171450</xdr:rowOff>
    </xdr:to>
    <xdr:sp macro="" textlink="">
      <xdr:nvSpPr>
        <xdr:cNvPr id="5" name="Rectángulo redondeado 4"/>
        <xdr:cNvSpPr/>
      </xdr:nvSpPr>
      <xdr:spPr>
        <a:xfrm>
          <a:off x="4686300" y="1238250"/>
          <a:ext cx="1504950" cy="187642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8</xdr:col>
      <xdr:colOff>0</xdr:colOff>
      <xdr:row>6</xdr:row>
      <xdr:rowOff>9525</xdr:rowOff>
    </xdr:from>
    <xdr:to>
      <xdr:col>10</xdr:col>
      <xdr:colOff>742950</xdr:colOff>
      <xdr:row>16</xdr:row>
      <xdr:rowOff>0</xdr:rowOff>
    </xdr:to>
    <xdr:sp macro="" textlink="">
      <xdr:nvSpPr>
        <xdr:cNvPr id="7" name="Rectángulo redondeado 6"/>
        <xdr:cNvSpPr/>
      </xdr:nvSpPr>
      <xdr:spPr>
        <a:xfrm>
          <a:off x="6191250" y="1238250"/>
          <a:ext cx="2266950" cy="18954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0</xdr:row>
      <xdr:rowOff>19050</xdr:rowOff>
    </xdr:from>
    <xdr:to>
      <xdr:col>14</xdr:col>
      <xdr:colOff>9524</xdr:colOff>
      <xdr:row>2</xdr:row>
      <xdr:rowOff>180975</xdr:rowOff>
    </xdr:to>
    <xdr:sp macro="" textlink="">
      <xdr:nvSpPr>
        <xdr:cNvPr id="2" name="Rectángulo redondeado 1"/>
        <xdr:cNvSpPr/>
      </xdr:nvSpPr>
      <xdr:spPr>
        <a:xfrm>
          <a:off x="771524" y="19050"/>
          <a:ext cx="11249025" cy="542925"/>
        </a:xfrm>
        <a:prstGeom prst="roundRect">
          <a:avLst/>
        </a:prstGeom>
        <a:noFill/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>
    <xdr:from>
      <xdr:col>14</xdr:col>
      <xdr:colOff>9525</xdr:colOff>
      <xdr:row>0</xdr:row>
      <xdr:rowOff>19050</xdr:rowOff>
    </xdr:from>
    <xdr:to>
      <xdr:col>17</xdr:col>
      <xdr:colOff>19050</xdr:colOff>
      <xdr:row>3</xdr:row>
      <xdr:rowOff>9525</xdr:rowOff>
    </xdr:to>
    <xdr:sp macro="" textlink="">
      <xdr:nvSpPr>
        <xdr:cNvPr id="3" name="Rectángulo redondeado 2"/>
        <xdr:cNvSpPr/>
      </xdr:nvSpPr>
      <xdr:spPr>
        <a:xfrm>
          <a:off x="12020550" y="19050"/>
          <a:ext cx="2295525" cy="561975"/>
        </a:xfrm>
        <a:prstGeom prst="roundRect">
          <a:avLst/>
        </a:prstGeom>
        <a:noFill/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17</xdr:col>
      <xdr:colOff>0</xdr:colOff>
      <xdr:row>53</xdr:row>
      <xdr:rowOff>0</xdr:rowOff>
    </xdr:to>
    <xdr:sp macro="" textlink="">
      <xdr:nvSpPr>
        <xdr:cNvPr id="6" name="Rectángulo 5"/>
        <xdr:cNvSpPr/>
      </xdr:nvSpPr>
      <xdr:spPr>
        <a:xfrm>
          <a:off x="762000" y="762000"/>
          <a:ext cx="13535025" cy="9334500"/>
        </a:xfrm>
        <a:prstGeom prst="rect">
          <a:avLst/>
        </a:prstGeom>
        <a:noFill/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752475</xdr:colOff>
      <xdr:row>13</xdr:row>
      <xdr:rowOff>9525</xdr:rowOff>
    </xdr:from>
    <xdr:to>
      <xdr:col>16</xdr:col>
      <xdr:colOff>752475</xdr:colOff>
      <xdr:row>17</xdr:row>
      <xdr:rowOff>180975</xdr:rowOff>
    </xdr:to>
    <xdr:sp macro="" textlink="">
      <xdr:nvSpPr>
        <xdr:cNvPr id="7" name="Rectángulo 6"/>
        <xdr:cNvSpPr/>
      </xdr:nvSpPr>
      <xdr:spPr>
        <a:xfrm>
          <a:off x="752475" y="2609850"/>
          <a:ext cx="13535025" cy="933450"/>
        </a:xfrm>
        <a:prstGeom prst="rect">
          <a:avLst/>
        </a:prstGeom>
        <a:noFill/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0</xdr:colOff>
      <xdr:row>23</xdr:row>
      <xdr:rowOff>0</xdr:rowOff>
    </xdr:from>
    <xdr:to>
      <xdr:col>17</xdr:col>
      <xdr:colOff>0</xdr:colOff>
      <xdr:row>27</xdr:row>
      <xdr:rowOff>180975</xdr:rowOff>
    </xdr:to>
    <xdr:sp macro="" textlink="">
      <xdr:nvSpPr>
        <xdr:cNvPr id="8" name="Rectángulo 7"/>
        <xdr:cNvSpPr/>
      </xdr:nvSpPr>
      <xdr:spPr>
        <a:xfrm>
          <a:off x="762000" y="4505325"/>
          <a:ext cx="13535025" cy="942975"/>
        </a:xfrm>
        <a:prstGeom prst="rect">
          <a:avLst/>
        </a:prstGeom>
        <a:noFill/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0</xdr:colOff>
      <xdr:row>33</xdr:row>
      <xdr:rowOff>0</xdr:rowOff>
    </xdr:from>
    <xdr:to>
      <xdr:col>17</xdr:col>
      <xdr:colOff>9525</xdr:colOff>
      <xdr:row>37</xdr:row>
      <xdr:rowOff>180975</xdr:rowOff>
    </xdr:to>
    <xdr:sp macro="" textlink="">
      <xdr:nvSpPr>
        <xdr:cNvPr id="9" name="Rectángulo 8"/>
        <xdr:cNvSpPr/>
      </xdr:nvSpPr>
      <xdr:spPr>
        <a:xfrm>
          <a:off x="762000" y="6410325"/>
          <a:ext cx="13544550" cy="942975"/>
        </a:xfrm>
        <a:prstGeom prst="rect">
          <a:avLst/>
        </a:prstGeom>
        <a:noFill/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752475</xdr:colOff>
      <xdr:row>43</xdr:row>
      <xdr:rowOff>9525</xdr:rowOff>
    </xdr:from>
    <xdr:to>
      <xdr:col>17</xdr:col>
      <xdr:colOff>0</xdr:colOff>
      <xdr:row>48</xdr:row>
      <xdr:rowOff>9525</xdr:rowOff>
    </xdr:to>
    <xdr:sp macro="" textlink="">
      <xdr:nvSpPr>
        <xdr:cNvPr id="10" name="Rectángulo 9"/>
        <xdr:cNvSpPr/>
      </xdr:nvSpPr>
      <xdr:spPr>
        <a:xfrm>
          <a:off x="752475" y="8324850"/>
          <a:ext cx="13544550" cy="952500"/>
        </a:xfrm>
        <a:prstGeom prst="rect">
          <a:avLst/>
        </a:prstGeom>
        <a:noFill/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9525</xdr:colOff>
      <xdr:row>33</xdr:row>
      <xdr:rowOff>0</xdr:rowOff>
    </xdr:from>
    <xdr:to>
      <xdr:col>16</xdr:col>
      <xdr:colOff>752475</xdr:colOff>
      <xdr:row>38</xdr:row>
      <xdr:rowOff>0</xdr:rowOff>
    </xdr:to>
    <xdr:sp macro="" textlink="">
      <xdr:nvSpPr>
        <xdr:cNvPr id="11" name="Rectángulo 10"/>
        <xdr:cNvSpPr/>
      </xdr:nvSpPr>
      <xdr:spPr>
        <a:xfrm>
          <a:off x="771525" y="6410325"/>
          <a:ext cx="13515975" cy="952500"/>
        </a:xfrm>
        <a:prstGeom prst="rect">
          <a:avLst/>
        </a:prstGeom>
        <a:noFill/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+</a:t>
          </a:r>
        </a:p>
      </xdr:txBody>
    </xdr:sp>
    <xdr:clientData/>
  </xdr:twoCellAnchor>
  <xdr:twoCellAnchor>
    <xdr:from>
      <xdr:col>1</xdr:col>
      <xdr:colOff>0</xdr:colOff>
      <xdr:row>23</xdr:row>
      <xdr:rowOff>0</xdr:rowOff>
    </xdr:from>
    <xdr:to>
      <xdr:col>17</xdr:col>
      <xdr:colOff>0</xdr:colOff>
      <xdr:row>27</xdr:row>
      <xdr:rowOff>171450</xdr:rowOff>
    </xdr:to>
    <xdr:sp macro="" textlink="">
      <xdr:nvSpPr>
        <xdr:cNvPr id="12" name="Rectángulo 11"/>
        <xdr:cNvSpPr/>
      </xdr:nvSpPr>
      <xdr:spPr>
        <a:xfrm>
          <a:off x="762000" y="4505325"/>
          <a:ext cx="13535025" cy="933450"/>
        </a:xfrm>
        <a:prstGeom prst="rect">
          <a:avLst/>
        </a:prstGeom>
        <a:noFill/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17</xdr:col>
      <xdr:colOff>0</xdr:colOff>
      <xdr:row>22</xdr:row>
      <xdr:rowOff>180975</xdr:rowOff>
    </xdr:to>
    <xdr:sp macro="" textlink="">
      <xdr:nvSpPr>
        <xdr:cNvPr id="13" name="Rectángulo 12"/>
        <xdr:cNvSpPr/>
      </xdr:nvSpPr>
      <xdr:spPr>
        <a:xfrm>
          <a:off x="762000" y="3552825"/>
          <a:ext cx="13535025" cy="942975"/>
        </a:xfrm>
        <a:prstGeom prst="rect">
          <a:avLst/>
        </a:prstGeom>
        <a:noFill/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9525</xdr:colOff>
      <xdr:row>33</xdr:row>
      <xdr:rowOff>0</xdr:rowOff>
    </xdr:from>
    <xdr:to>
      <xdr:col>17</xdr:col>
      <xdr:colOff>9525</xdr:colOff>
      <xdr:row>37</xdr:row>
      <xdr:rowOff>180975</xdr:rowOff>
    </xdr:to>
    <xdr:sp macro="" textlink="">
      <xdr:nvSpPr>
        <xdr:cNvPr id="14" name="Rectángulo 13"/>
        <xdr:cNvSpPr/>
      </xdr:nvSpPr>
      <xdr:spPr>
        <a:xfrm>
          <a:off x="771525" y="6410325"/>
          <a:ext cx="13535025" cy="942975"/>
        </a:xfrm>
        <a:prstGeom prst="rect">
          <a:avLst/>
        </a:prstGeom>
        <a:noFill/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0</xdr:colOff>
      <xdr:row>33</xdr:row>
      <xdr:rowOff>0</xdr:rowOff>
    </xdr:from>
    <xdr:to>
      <xdr:col>17</xdr:col>
      <xdr:colOff>0</xdr:colOff>
      <xdr:row>37</xdr:row>
      <xdr:rowOff>180975</xdr:rowOff>
    </xdr:to>
    <xdr:sp macro="" textlink="">
      <xdr:nvSpPr>
        <xdr:cNvPr id="15" name="Rectángulo 14"/>
        <xdr:cNvSpPr/>
      </xdr:nvSpPr>
      <xdr:spPr>
        <a:xfrm>
          <a:off x="762000" y="6410325"/>
          <a:ext cx="13535025" cy="942975"/>
        </a:xfrm>
        <a:prstGeom prst="rect">
          <a:avLst/>
        </a:prstGeom>
        <a:noFill/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0</xdr:colOff>
      <xdr:row>33</xdr:row>
      <xdr:rowOff>0</xdr:rowOff>
    </xdr:from>
    <xdr:to>
      <xdr:col>17</xdr:col>
      <xdr:colOff>0</xdr:colOff>
      <xdr:row>37</xdr:row>
      <xdr:rowOff>171450</xdr:rowOff>
    </xdr:to>
    <xdr:sp macro="" textlink="">
      <xdr:nvSpPr>
        <xdr:cNvPr id="16" name="Rectángulo 15"/>
        <xdr:cNvSpPr/>
      </xdr:nvSpPr>
      <xdr:spPr>
        <a:xfrm>
          <a:off x="762000" y="6410325"/>
          <a:ext cx="13535025" cy="933450"/>
        </a:xfrm>
        <a:prstGeom prst="rect">
          <a:avLst/>
        </a:prstGeom>
        <a:noFill/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0</xdr:colOff>
      <xdr:row>28</xdr:row>
      <xdr:rowOff>0</xdr:rowOff>
    </xdr:from>
    <xdr:to>
      <xdr:col>17</xdr:col>
      <xdr:colOff>0</xdr:colOff>
      <xdr:row>32</xdr:row>
      <xdr:rowOff>171450</xdr:rowOff>
    </xdr:to>
    <xdr:sp macro="" textlink="">
      <xdr:nvSpPr>
        <xdr:cNvPr id="17" name="Rectángulo 16"/>
        <xdr:cNvSpPr/>
      </xdr:nvSpPr>
      <xdr:spPr>
        <a:xfrm>
          <a:off x="762000" y="5457825"/>
          <a:ext cx="13535025" cy="933450"/>
        </a:xfrm>
        <a:prstGeom prst="rect">
          <a:avLst/>
        </a:prstGeom>
        <a:noFill/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17</xdr:col>
      <xdr:colOff>0</xdr:colOff>
      <xdr:row>17</xdr:row>
      <xdr:rowOff>171450</xdr:rowOff>
    </xdr:to>
    <xdr:sp macro="" textlink="">
      <xdr:nvSpPr>
        <xdr:cNvPr id="19" name="Rectángulo 18"/>
        <xdr:cNvSpPr/>
      </xdr:nvSpPr>
      <xdr:spPr>
        <a:xfrm>
          <a:off x="762000" y="2600325"/>
          <a:ext cx="13535025" cy="933450"/>
        </a:xfrm>
        <a:prstGeom prst="rect">
          <a:avLst/>
        </a:prstGeom>
        <a:noFill/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17</xdr:col>
      <xdr:colOff>0</xdr:colOff>
      <xdr:row>22</xdr:row>
      <xdr:rowOff>171450</xdr:rowOff>
    </xdr:to>
    <xdr:sp macro="" textlink="">
      <xdr:nvSpPr>
        <xdr:cNvPr id="20" name="Rectángulo 19"/>
        <xdr:cNvSpPr/>
      </xdr:nvSpPr>
      <xdr:spPr>
        <a:xfrm>
          <a:off x="762000" y="3552825"/>
          <a:ext cx="13535025" cy="933450"/>
        </a:xfrm>
        <a:prstGeom prst="rect">
          <a:avLst/>
        </a:prstGeom>
        <a:noFill/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0</xdr:colOff>
      <xdr:row>32</xdr:row>
      <xdr:rowOff>180975</xdr:rowOff>
    </xdr:from>
    <xdr:to>
      <xdr:col>17</xdr:col>
      <xdr:colOff>0</xdr:colOff>
      <xdr:row>37</xdr:row>
      <xdr:rowOff>161925</xdr:rowOff>
    </xdr:to>
    <xdr:sp macro="" textlink="">
      <xdr:nvSpPr>
        <xdr:cNvPr id="23" name="Rectángulo 22"/>
        <xdr:cNvSpPr/>
      </xdr:nvSpPr>
      <xdr:spPr>
        <a:xfrm>
          <a:off x="762000" y="6400800"/>
          <a:ext cx="13535025" cy="933450"/>
        </a:xfrm>
        <a:prstGeom prst="rect">
          <a:avLst/>
        </a:prstGeom>
        <a:noFill/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752475</xdr:colOff>
      <xdr:row>43</xdr:row>
      <xdr:rowOff>9525</xdr:rowOff>
    </xdr:from>
    <xdr:to>
      <xdr:col>16</xdr:col>
      <xdr:colOff>752475</xdr:colOff>
      <xdr:row>47</xdr:row>
      <xdr:rowOff>180975</xdr:rowOff>
    </xdr:to>
    <xdr:sp macro="" textlink="">
      <xdr:nvSpPr>
        <xdr:cNvPr id="24" name="Rectángulo 23"/>
        <xdr:cNvSpPr/>
      </xdr:nvSpPr>
      <xdr:spPr>
        <a:xfrm>
          <a:off x="752475" y="8324850"/>
          <a:ext cx="13535025" cy="933450"/>
        </a:xfrm>
        <a:prstGeom prst="rect">
          <a:avLst/>
        </a:prstGeom>
        <a:noFill/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9525</xdr:colOff>
      <xdr:row>43</xdr:row>
      <xdr:rowOff>9525</xdr:rowOff>
    </xdr:from>
    <xdr:to>
      <xdr:col>17</xdr:col>
      <xdr:colOff>9525</xdr:colOff>
      <xdr:row>47</xdr:row>
      <xdr:rowOff>180975</xdr:rowOff>
    </xdr:to>
    <xdr:sp macro="" textlink="">
      <xdr:nvSpPr>
        <xdr:cNvPr id="25" name="Rectángulo 24"/>
        <xdr:cNvSpPr/>
      </xdr:nvSpPr>
      <xdr:spPr>
        <a:xfrm>
          <a:off x="771525" y="8324850"/>
          <a:ext cx="13535025" cy="933450"/>
        </a:xfrm>
        <a:prstGeom prst="rect">
          <a:avLst/>
        </a:prstGeom>
        <a:noFill/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9525</xdr:colOff>
      <xdr:row>4</xdr:row>
      <xdr:rowOff>9525</xdr:rowOff>
    </xdr:from>
    <xdr:to>
      <xdr:col>17</xdr:col>
      <xdr:colOff>9525</xdr:colOff>
      <xdr:row>53</xdr:row>
      <xdr:rowOff>9525</xdr:rowOff>
    </xdr:to>
    <xdr:sp macro="" textlink="">
      <xdr:nvSpPr>
        <xdr:cNvPr id="26" name="Rectángulo 25"/>
        <xdr:cNvSpPr/>
      </xdr:nvSpPr>
      <xdr:spPr>
        <a:xfrm>
          <a:off x="771525" y="895350"/>
          <a:ext cx="13535025" cy="9334500"/>
        </a:xfrm>
        <a:prstGeom prst="rect">
          <a:avLst/>
        </a:prstGeom>
        <a:noFill/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19050</xdr:colOff>
      <xdr:row>4</xdr:row>
      <xdr:rowOff>19050</xdr:rowOff>
    </xdr:from>
    <xdr:to>
      <xdr:col>17</xdr:col>
      <xdr:colOff>19050</xdr:colOff>
      <xdr:row>53</xdr:row>
      <xdr:rowOff>19050</xdr:rowOff>
    </xdr:to>
    <xdr:sp macro="" textlink="">
      <xdr:nvSpPr>
        <xdr:cNvPr id="27" name="Rectángulo 26"/>
        <xdr:cNvSpPr/>
      </xdr:nvSpPr>
      <xdr:spPr>
        <a:xfrm>
          <a:off x="781050" y="904875"/>
          <a:ext cx="13535025" cy="9334500"/>
        </a:xfrm>
        <a:prstGeom prst="rect">
          <a:avLst/>
        </a:prstGeom>
        <a:noFill/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9525</xdr:colOff>
      <xdr:row>2</xdr:row>
      <xdr:rowOff>180975</xdr:rowOff>
    </xdr:to>
    <xdr:sp macro="" textlink="">
      <xdr:nvSpPr>
        <xdr:cNvPr id="28" name="Rectángulo redondeado 27"/>
        <xdr:cNvSpPr/>
      </xdr:nvSpPr>
      <xdr:spPr>
        <a:xfrm>
          <a:off x="762000" y="0"/>
          <a:ext cx="11258550" cy="561975"/>
        </a:xfrm>
        <a:prstGeom prst="roundRect">
          <a:avLst/>
        </a:prstGeom>
        <a:noFill/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C15" sqref="C15"/>
    </sheetView>
  </sheetViews>
  <sheetFormatPr baseColWidth="10" defaultRowHeight="15" x14ac:dyDescent="0.25"/>
  <cols>
    <col min="1" max="1" width="52.5703125" customWidth="1"/>
    <col min="2" max="2" width="10.140625" bestFit="1" customWidth="1"/>
    <col min="3" max="3" width="53.28515625" customWidth="1"/>
    <col min="4" max="4" width="27.85546875" customWidth="1"/>
    <col min="5" max="5" width="55.140625" customWidth="1"/>
  </cols>
  <sheetData>
    <row r="1" spans="1:8" x14ac:dyDescent="0.25">
      <c r="A1" s="206" t="s">
        <v>2</v>
      </c>
      <c r="B1" s="206"/>
      <c r="C1" s="206"/>
      <c r="D1" s="206"/>
      <c r="E1" s="206"/>
    </row>
    <row r="3" spans="1:8" x14ac:dyDescent="0.25">
      <c r="A3" t="s">
        <v>3</v>
      </c>
    </row>
    <row r="4" spans="1:8" x14ac:dyDescent="0.25">
      <c r="A4" t="s">
        <v>0</v>
      </c>
      <c r="B4" s="1">
        <v>5000</v>
      </c>
      <c r="D4" t="s">
        <v>235</v>
      </c>
      <c r="E4" s="1">
        <v>500000</v>
      </c>
      <c r="G4" t="s">
        <v>238</v>
      </c>
      <c r="H4" s="1">
        <f>+B4+B5+B6+E4+E5-E6</f>
        <v>680000</v>
      </c>
    </row>
    <row r="5" spans="1:8" x14ac:dyDescent="0.25">
      <c r="A5" t="s">
        <v>1</v>
      </c>
      <c r="B5" s="1">
        <v>50000</v>
      </c>
      <c r="D5" t="s">
        <v>236</v>
      </c>
      <c r="E5" s="1">
        <v>150000</v>
      </c>
    </row>
    <row r="6" spans="1:8" x14ac:dyDescent="0.25">
      <c r="A6" t="s">
        <v>234</v>
      </c>
      <c r="B6" s="1">
        <v>5000</v>
      </c>
      <c r="D6" t="s">
        <v>237</v>
      </c>
      <c r="E6" s="1">
        <v>30000</v>
      </c>
    </row>
    <row r="8" spans="1:8" x14ac:dyDescent="0.25">
      <c r="A8" t="s">
        <v>239</v>
      </c>
      <c r="B8" s="1">
        <v>5000</v>
      </c>
      <c r="C8" t="s">
        <v>240</v>
      </c>
    </row>
    <row r="10" spans="1:8" x14ac:dyDescent="0.25">
      <c r="A10" t="s">
        <v>241</v>
      </c>
      <c r="B10" s="1">
        <v>5</v>
      </c>
      <c r="C10" t="s">
        <v>242</v>
      </c>
      <c r="D10" s="148">
        <v>1500</v>
      </c>
      <c r="E10" t="s">
        <v>243</v>
      </c>
    </row>
    <row r="12" spans="1:8" x14ac:dyDescent="0.25">
      <c r="A12" t="s">
        <v>244</v>
      </c>
      <c r="B12">
        <v>1000</v>
      </c>
      <c r="C12" t="s">
        <v>245</v>
      </c>
    </row>
    <row r="14" spans="1:8" x14ac:dyDescent="0.25">
      <c r="A14" t="s">
        <v>246</v>
      </c>
      <c r="B14">
        <v>7</v>
      </c>
      <c r="C14" t="s">
        <v>242</v>
      </c>
      <c r="D14" s="148">
        <v>5000</v>
      </c>
      <c r="E14" t="s">
        <v>247</v>
      </c>
    </row>
    <row r="16" spans="1:8" x14ac:dyDescent="0.25">
      <c r="A16" t="s">
        <v>331</v>
      </c>
      <c r="B16" s="148">
        <v>10000</v>
      </c>
      <c r="C16" t="s">
        <v>248</v>
      </c>
    </row>
    <row r="18" spans="1:11" x14ac:dyDescent="0.25">
      <c r="A18" t="s">
        <v>249</v>
      </c>
      <c r="B18" s="148">
        <v>22200</v>
      </c>
      <c r="C18" t="s">
        <v>250</v>
      </c>
    </row>
    <row r="19" spans="1:11" x14ac:dyDescent="0.25">
      <c r="K19">
        <f>+(ASIENTOS!B14*ASIENTOS!D14)*0.1</f>
        <v>3500</v>
      </c>
    </row>
    <row r="20" spans="1:11" x14ac:dyDescent="0.25">
      <c r="A20" t="s">
        <v>251</v>
      </c>
      <c r="B20">
        <v>3</v>
      </c>
      <c r="C20" t="s">
        <v>242</v>
      </c>
      <c r="D20" s="148">
        <v>1800</v>
      </c>
      <c r="E20" t="s">
        <v>341</v>
      </c>
      <c r="F20" s="146">
        <v>0.03</v>
      </c>
    </row>
    <row r="22" spans="1:11" x14ac:dyDescent="0.25">
      <c r="A22" t="s">
        <v>344</v>
      </c>
      <c r="B22" s="148">
        <v>1350</v>
      </c>
      <c r="D22">
        <v>1</v>
      </c>
    </row>
    <row r="24" spans="1:11" x14ac:dyDescent="0.25">
      <c r="A24" t="s">
        <v>252</v>
      </c>
      <c r="B24">
        <v>4</v>
      </c>
      <c r="C24" t="s">
        <v>242</v>
      </c>
      <c r="D24" s="148">
        <v>5800</v>
      </c>
      <c r="E24" t="s">
        <v>253</v>
      </c>
      <c r="F24" s="146">
        <v>0.02</v>
      </c>
    </row>
    <row r="26" spans="1:11" x14ac:dyDescent="0.25">
      <c r="A26" s="5" t="s">
        <v>216</v>
      </c>
      <c r="B26" s="146"/>
    </row>
    <row r="28" spans="1:11" x14ac:dyDescent="0.25">
      <c r="A28" t="s">
        <v>254</v>
      </c>
      <c r="B28" s="147">
        <v>4450</v>
      </c>
      <c r="C28" t="s">
        <v>255</v>
      </c>
      <c r="D28" s="146">
        <v>0.7</v>
      </c>
      <c r="E28" t="s">
        <v>266</v>
      </c>
      <c r="F28" s="146">
        <v>0.3</v>
      </c>
      <c r="G28" t="s">
        <v>267</v>
      </c>
      <c r="H28">
        <v>474</v>
      </c>
    </row>
    <row r="30" spans="1:11" x14ac:dyDescent="0.25">
      <c r="A30" t="s">
        <v>256</v>
      </c>
      <c r="B30" s="148">
        <v>73098</v>
      </c>
      <c r="C30" t="s">
        <v>257</v>
      </c>
      <c r="D30">
        <v>724</v>
      </c>
    </row>
    <row r="31" spans="1:11" x14ac:dyDescent="0.25">
      <c r="D31" s="177"/>
    </row>
    <row r="32" spans="1:11" x14ac:dyDescent="0.25">
      <c r="A32" t="s">
        <v>258</v>
      </c>
      <c r="B32" s="146">
        <v>0.05</v>
      </c>
      <c r="C32" t="s">
        <v>259</v>
      </c>
    </row>
    <row r="34" spans="1:7" x14ac:dyDescent="0.25">
      <c r="A34" t="s">
        <v>260</v>
      </c>
      <c r="B34" s="146">
        <v>0.5</v>
      </c>
      <c r="C34" t="s">
        <v>261</v>
      </c>
    </row>
    <row r="36" spans="1:7" x14ac:dyDescent="0.25">
      <c r="A36" t="s">
        <v>262</v>
      </c>
      <c r="B36" s="146">
        <v>0.05</v>
      </c>
      <c r="C36" t="s">
        <v>263</v>
      </c>
      <c r="D36" s="146">
        <v>0.7</v>
      </c>
      <c r="E36" t="s">
        <v>264</v>
      </c>
      <c r="F36" s="146">
        <v>0.3</v>
      </c>
      <c r="G36" t="s">
        <v>265</v>
      </c>
    </row>
    <row r="38" spans="1:7" x14ac:dyDescent="0.25">
      <c r="A38" t="s">
        <v>268</v>
      </c>
      <c r="B38" s="148">
        <v>5000</v>
      </c>
    </row>
    <row r="40" spans="1:7" x14ac:dyDescent="0.25">
      <c r="A40" t="s">
        <v>269</v>
      </c>
      <c r="B40" s="148">
        <v>15000</v>
      </c>
    </row>
    <row r="42" spans="1:7" x14ac:dyDescent="0.25">
      <c r="A42" t="s">
        <v>270</v>
      </c>
      <c r="B42">
        <v>500</v>
      </c>
      <c r="C42" t="s">
        <v>271</v>
      </c>
    </row>
    <row r="44" spans="1:7" x14ac:dyDescent="0.25">
      <c r="A44" t="s">
        <v>272</v>
      </c>
      <c r="B44">
        <v>1000</v>
      </c>
      <c r="C44" t="s">
        <v>273</v>
      </c>
      <c r="D44" s="146">
        <v>0.7</v>
      </c>
      <c r="E44" t="s">
        <v>275</v>
      </c>
      <c r="F44" s="146">
        <v>0.3</v>
      </c>
      <c r="G44" t="s">
        <v>274</v>
      </c>
    </row>
    <row r="46" spans="1:7" x14ac:dyDescent="0.25">
      <c r="A46" t="s">
        <v>276</v>
      </c>
      <c r="B46" s="146">
        <v>0.1</v>
      </c>
      <c r="C46" t="s">
        <v>277</v>
      </c>
      <c r="D46" s="146">
        <v>0.7</v>
      </c>
      <c r="E46" t="s">
        <v>278</v>
      </c>
      <c r="F46" s="146">
        <v>0.3</v>
      </c>
      <c r="G46" t="s">
        <v>267</v>
      </c>
    </row>
    <row r="48" spans="1:7" x14ac:dyDescent="0.25">
      <c r="A48" t="s">
        <v>279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opLeftCell="C9" zoomScaleNormal="100" workbookViewId="0">
      <selection activeCell="O40" sqref="O40"/>
    </sheetView>
  </sheetViews>
  <sheetFormatPr baseColWidth="10" defaultRowHeight="15" x14ac:dyDescent="0.25"/>
  <cols>
    <col min="3" max="3" width="30.7109375" style="127" customWidth="1"/>
    <col min="4" max="4" width="9.85546875" customWidth="1"/>
    <col min="5" max="5" width="24.85546875" customWidth="1"/>
    <col min="6" max="6" width="12.28515625" customWidth="1"/>
    <col min="7" max="7" width="16.28515625" customWidth="1"/>
    <col min="9" max="9" width="13" customWidth="1"/>
    <col min="16" max="16" width="11.85546875" bestFit="1" customWidth="1"/>
    <col min="18" max="18" width="11.42578125" style="144"/>
  </cols>
  <sheetData>
    <row r="1" spans="1:18" x14ac:dyDescent="0.25"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6" t="s">
        <v>225</v>
      </c>
      <c r="P1" s="246"/>
      <c r="Q1" s="246"/>
    </row>
    <row r="2" spans="1:18" x14ac:dyDescent="0.25"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57" t="s">
        <v>226</v>
      </c>
      <c r="P2" s="257"/>
      <c r="Q2" s="142" t="s">
        <v>227</v>
      </c>
    </row>
    <row r="3" spans="1:18" x14ac:dyDescent="0.25"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56" t="s">
        <v>228</v>
      </c>
      <c r="P3" s="256"/>
      <c r="Q3" s="256"/>
    </row>
    <row r="4" spans="1:18" ht="24.75" customHeight="1" x14ac:dyDescent="0.35">
      <c r="B4" s="240" t="s">
        <v>224</v>
      </c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</row>
    <row r="5" spans="1:18" x14ac:dyDescent="0.25">
      <c r="B5" s="135"/>
      <c r="C5" s="136"/>
      <c r="D5" s="137"/>
      <c r="E5" s="139">
        <v>1</v>
      </c>
      <c r="F5" s="134">
        <v>2</v>
      </c>
      <c r="G5" s="134">
        <v>3</v>
      </c>
      <c r="H5" s="135">
        <v>4</v>
      </c>
      <c r="I5" s="138"/>
      <c r="J5" s="140">
        <v>5</v>
      </c>
      <c r="K5" s="141">
        <v>6</v>
      </c>
      <c r="L5" s="141">
        <v>7</v>
      </c>
      <c r="M5" s="141">
        <v>8</v>
      </c>
      <c r="N5" s="141">
        <v>9</v>
      </c>
      <c r="O5" s="141">
        <v>10</v>
      </c>
      <c r="P5" s="141">
        <v>11</v>
      </c>
      <c r="Q5" s="141">
        <v>12</v>
      </c>
    </row>
    <row r="6" spans="1:18" x14ac:dyDescent="0.25">
      <c r="B6" s="250" t="s">
        <v>210</v>
      </c>
      <c r="C6" s="252" t="s">
        <v>214</v>
      </c>
      <c r="D6" s="254" t="s">
        <v>209</v>
      </c>
      <c r="E6" s="247" t="s">
        <v>211</v>
      </c>
      <c r="F6" s="248"/>
      <c r="G6" s="248"/>
      <c r="H6" s="249"/>
      <c r="I6" s="254" t="s">
        <v>215</v>
      </c>
      <c r="J6" s="235" t="s">
        <v>216</v>
      </c>
      <c r="K6" s="236"/>
      <c r="L6" s="235" t="s">
        <v>219</v>
      </c>
      <c r="M6" s="236"/>
      <c r="N6" s="235" t="s">
        <v>220</v>
      </c>
      <c r="O6" s="236"/>
      <c r="P6" s="239" t="s">
        <v>221</v>
      </c>
      <c r="Q6" s="239"/>
    </row>
    <row r="7" spans="1:18" ht="15" customHeight="1" x14ac:dyDescent="0.25">
      <c r="B7" s="250"/>
      <c r="C7" s="252"/>
      <c r="D7" s="254"/>
      <c r="E7" s="241" t="s">
        <v>212</v>
      </c>
      <c r="F7" s="242"/>
      <c r="G7" s="241" t="s">
        <v>213</v>
      </c>
      <c r="H7" s="242"/>
      <c r="I7" s="254"/>
      <c r="J7" s="237"/>
      <c r="K7" s="238"/>
      <c r="L7" s="237"/>
      <c r="M7" s="238"/>
      <c r="N7" s="237"/>
      <c r="O7" s="238"/>
      <c r="P7" s="239"/>
      <c r="Q7" s="239"/>
    </row>
    <row r="8" spans="1:18" x14ac:dyDescent="0.25">
      <c r="B8" s="251"/>
      <c r="C8" s="253"/>
      <c r="D8" s="255"/>
      <c r="E8" s="132" t="s">
        <v>128</v>
      </c>
      <c r="F8" s="129" t="s">
        <v>129</v>
      </c>
      <c r="G8" s="129" t="s">
        <v>128</v>
      </c>
      <c r="H8" s="128" t="s">
        <v>129</v>
      </c>
      <c r="I8" s="255"/>
      <c r="J8" s="132" t="s">
        <v>217</v>
      </c>
      <c r="K8" s="129" t="s">
        <v>218</v>
      </c>
      <c r="L8" s="129" t="s">
        <v>128</v>
      </c>
      <c r="M8" s="129" t="s">
        <v>129</v>
      </c>
      <c r="N8" s="129" t="s">
        <v>128</v>
      </c>
      <c r="O8" s="129" t="s">
        <v>129</v>
      </c>
      <c r="P8" s="129" t="s">
        <v>222</v>
      </c>
      <c r="Q8" s="129" t="s">
        <v>223</v>
      </c>
    </row>
    <row r="9" spans="1:18" x14ac:dyDescent="0.25">
      <c r="A9" s="143">
        <v>1</v>
      </c>
      <c r="B9" s="130">
        <v>1101</v>
      </c>
      <c r="C9" s="131" t="str">
        <f>LOOKUP(B9,'BALANZA DE COMPROBACION'!A10:A75,'BALANZA DE COMPROBACION'!B10:B75)</f>
        <v>CAJA</v>
      </c>
      <c r="D9" s="133"/>
      <c r="E9" s="191">
        <f>LOOKUP(B9,'BALANZA DE COMPROBACION'!A10:A75,'BALANZA DE COMPROBACION'!E10:E75)</f>
        <v>5000</v>
      </c>
      <c r="F9" s="191">
        <f>LOOKUP(B9,'BALANZA DE COMPROBACION'!A10:A75,'BALANZA DE COMPROBACION'!F10:F75)</f>
        <v>0</v>
      </c>
      <c r="G9" s="191">
        <f>LOOKUP(B9,'BALANZA DE COMPROBACION'!A10:A75,'BALANZA DE COMPROBACION'!G10:G75)</f>
        <v>5000</v>
      </c>
      <c r="H9" s="191">
        <f>+LOOKUP(B9,'BALANZA DE COMPROBACION'!A10:A65,'BALANZA DE COMPROBACION'!H10:H65)</f>
        <v>0</v>
      </c>
      <c r="I9" s="133"/>
      <c r="J9" s="130"/>
      <c r="K9" s="191">
        <f>+'ESQUEMAS DE MAYOR'!C4</f>
        <v>549.83999999999992</v>
      </c>
      <c r="L9" s="191">
        <f>+G9-K9</f>
        <v>4450.16</v>
      </c>
      <c r="M9" s="130"/>
      <c r="N9" s="130"/>
      <c r="O9" s="130"/>
      <c r="P9" s="191">
        <f>+L9</f>
        <v>4450.16</v>
      </c>
      <c r="Q9" s="130"/>
      <c r="R9" s="144">
        <v>1</v>
      </c>
    </row>
    <row r="10" spans="1:18" x14ac:dyDescent="0.25">
      <c r="A10" s="143">
        <v>2</v>
      </c>
      <c r="B10" s="130">
        <v>1102</v>
      </c>
      <c r="C10" s="131" t="str">
        <f>LOOKUP(B10,'BALANZA DE COMPROBACION'!A11:A76,'BALANZA DE COMPROBACION'!B11:B76)</f>
        <v>BANCOS</v>
      </c>
      <c r="D10" s="130"/>
      <c r="E10" s="191">
        <f>LOOKUP(B10,'BALANZA DE COMPROBACION'!A10:A75,'BALANZA DE COMPROBACION'!E10:E75)</f>
        <v>98573.760000000009</v>
      </c>
      <c r="F10" s="191">
        <f>LOOKUP(B10,'BALANZA DE COMPROBACION'!A11:A76,'BALANZA DE COMPROBACION'!F11:F76)</f>
        <v>24636.080000000002</v>
      </c>
      <c r="G10" s="191">
        <f>LOOKUP(B10,'BALANZA DE COMPROBACION'!A11:A76,'BALANZA DE COMPROBACION'!G11:G76)</f>
        <v>73937.680000000008</v>
      </c>
      <c r="H10" s="191">
        <f>+LOOKUP(B10,'BALANZA DE COMPROBACION'!A11:A66,'BALANZA DE COMPROBACION'!H11:H66)</f>
        <v>0</v>
      </c>
      <c r="I10" s="130"/>
      <c r="J10" s="130"/>
      <c r="K10" s="191">
        <f>+'ESQUEMAS DE MAYOR'!K4</f>
        <v>839.83999999999992</v>
      </c>
      <c r="L10" s="191">
        <f>+G10-K10</f>
        <v>73097.840000000011</v>
      </c>
      <c r="M10" s="130"/>
      <c r="N10" s="130"/>
      <c r="O10" s="130"/>
      <c r="P10" s="191">
        <f>+L10</f>
        <v>73097.840000000011</v>
      </c>
      <c r="Q10" s="130"/>
      <c r="R10" s="144">
        <v>2</v>
      </c>
    </row>
    <row r="11" spans="1:18" x14ac:dyDescent="0.25">
      <c r="A11" s="143">
        <v>3</v>
      </c>
      <c r="B11" s="130">
        <v>1103</v>
      </c>
      <c r="C11" s="131" t="str">
        <f>LOOKUP(B11,'BALANZA DE COMPROBACION'!A12:A77,'BALANZA DE COMPROBACION'!B12:B77)</f>
        <v>CLIENTES</v>
      </c>
      <c r="D11" s="130"/>
      <c r="E11" s="191">
        <f>LOOKUP(B11,'BALANZA DE COMPROBACION'!A10:A75,'BALANZA DE COMPROBACION'!E10:E75)</f>
        <v>40600</v>
      </c>
      <c r="F11" s="191">
        <f>LOOKUP(B11,'BALANZA DE COMPROBACION'!A12:A77,'BALANZA DE COMPROBACION'!F12:F77)</f>
        <v>28000</v>
      </c>
      <c r="G11" s="191">
        <f>LOOKUP(B11,'BALANZA DE COMPROBACION'!A12:A77,'BALANZA DE COMPROBACION'!G12:G77)</f>
        <v>12600</v>
      </c>
      <c r="H11" s="191">
        <f>+LOOKUP(B11,'BALANZA DE COMPROBACION'!A12:A67,'BALANZA DE COMPROBACION'!H12:H67)</f>
        <v>0</v>
      </c>
      <c r="I11" s="130"/>
      <c r="J11" s="130"/>
      <c r="K11" s="130"/>
      <c r="L11" s="191">
        <f>+G11</f>
        <v>12600</v>
      </c>
      <c r="M11" s="130"/>
      <c r="N11" s="130"/>
      <c r="O11" s="130"/>
      <c r="P11" s="191">
        <f>+L11</f>
        <v>12600</v>
      </c>
      <c r="Q11" s="130"/>
      <c r="R11" s="144">
        <v>3</v>
      </c>
    </row>
    <row r="12" spans="1:18" x14ac:dyDescent="0.25">
      <c r="A12" s="143">
        <v>4</v>
      </c>
      <c r="B12" s="130">
        <v>1104</v>
      </c>
      <c r="C12" s="131" t="str">
        <f>LOOKUP(B12,'BALANZA DE COMPROBACION'!A13:A78,'BALANZA DE COMPROBACION'!B13:B78)</f>
        <v>ALMACEN</v>
      </c>
      <c r="D12" s="130"/>
      <c r="E12" s="191">
        <f>LOOKUP(B12,'BALANZA DE COMPROBACION'!A10:A75,'BALANZA DE COMPROBACION'!E10:E75)</f>
        <v>20250</v>
      </c>
      <c r="F12" s="191">
        <f>LOOKUP(B12,'BALANZA DE COMPROBACION'!A13:A78,'BALANZA DE COMPROBACION'!F13:F78)</f>
        <v>15690.857142857143</v>
      </c>
      <c r="G12" s="191">
        <f>LOOKUP(B12,'BALANZA DE COMPROBACION'!A13:A78,'BALANZA DE COMPROBACION'!G13:G78)</f>
        <v>4559.1428571428569</v>
      </c>
      <c r="H12" s="191">
        <f>+LOOKUP(B12,'BALANZA DE COMPROBACION'!A13:A68,'BALANZA DE COMPROBACION'!H13:H68)</f>
        <v>0</v>
      </c>
      <c r="I12" s="130"/>
      <c r="J12" s="130"/>
      <c r="K12" s="130"/>
      <c r="L12" s="191">
        <f>+G12</f>
        <v>4559.1428571428569</v>
      </c>
      <c r="M12" s="130"/>
      <c r="N12" s="130"/>
      <c r="O12" s="130"/>
      <c r="P12" s="191">
        <f>+L12</f>
        <v>4559.1428571428569</v>
      </c>
      <c r="Q12" s="130"/>
      <c r="R12" s="144">
        <v>4</v>
      </c>
    </row>
    <row r="13" spans="1:18" x14ac:dyDescent="0.25">
      <c r="A13" s="143">
        <v>5</v>
      </c>
      <c r="B13" s="130">
        <v>1105</v>
      </c>
      <c r="C13" s="131" t="str">
        <f>LOOKUP(B13,'BALANZA DE COMPROBACION'!A14:A79,'BALANZA DE COMPROBACION'!B14:B79)</f>
        <v>IVA ACREDITABLE</v>
      </c>
      <c r="D13" s="130"/>
      <c r="E13" s="191">
        <f>LOOKUP(B13,'BALANZA DE COMPROBACION'!A10:A75,'BALANZA DE COMPROBACION'!E10:E75)</f>
        <v>3398.08</v>
      </c>
      <c r="F13" s="191">
        <f>LOOKUP(B13,'BALANZA DE COMPROBACION'!A14:A79,'BALANZA DE COMPROBACION'!F14:F79)</f>
        <v>0</v>
      </c>
      <c r="G13" s="191">
        <f>LOOKUP(B13,'BALANZA DE COMPROBACION'!A14:A79,'BALANZA DE COMPROBACION'!G14:G79)</f>
        <v>3398.08</v>
      </c>
      <c r="H13" s="191">
        <f>+LOOKUP(B13,'BALANZA DE COMPROBACION'!A14:A69,'BALANZA DE COMPROBACION'!H14:H69)</f>
        <v>0</v>
      </c>
      <c r="I13" s="130"/>
      <c r="J13" s="192">
        <f>+'ESQUEMAS DE MAYOR'!Q19+'ESQUEMAS DE MAYOR'!Q20</f>
        <v>191.68</v>
      </c>
      <c r="K13" s="192">
        <f>+'ESQUEMAS DE MAYOR'!R21</f>
        <v>3589.7599999999998</v>
      </c>
      <c r="L13" s="130"/>
      <c r="M13" s="130"/>
      <c r="N13" s="130"/>
      <c r="O13" s="130"/>
      <c r="P13" s="130"/>
      <c r="Q13" s="130"/>
      <c r="R13" s="144">
        <v>5</v>
      </c>
    </row>
    <row r="14" spans="1:18" x14ac:dyDescent="0.25">
      <c r="A14" s="143">
        <v>6</v>
      </c>
      <c r="B14" s="130">
        <v>1106</v>
      </c>
      <c r="C14" s="131" t="str">
        <f>LOOKUP(B14,'BALANZA DE COMPROBACION'!A15:A80,'BALANZA DE COMPROBACION'!B15:B80)</f>
        <v>IVA PEND. ACREDITAR</v>
      </c>
      <c r="D14" s="130"/>
      <c r="E14" s="191">
        <f>LOOKUP(B14,'BALANZA DE COMPROBACION'!A10:A75,'BALANZA DE COMPROBACION'!E10:E75)</f>
        <v>1200</v>
      </c>
      <c r="F14" s="191">
        <f>LOOKUP(B14,'BALANZA DE COMPROBACION'!A15:A80,'BALANZA DE COMPROBACION'!F15:F80)</f>
        <v>0</v>
      </c>
      <c r="G14" s="191">
        <f>LOOKUP(B14,'BALANZA DE COMPROBACION'!A15:A80,'BALANZA DE COMPROBACION'!G15:G80)</f>
        <v>1200</v>
      </c>
      <c r="H14" s="191">
        <f>+LOOKUP(B14,'BALANZA DE COMPROBACION'!A15:A70,'BALANZA DE COMPROBACION'!H15:H70)</f>
        <v>0</v>
      </c>
      <c r="I14" s="130"/>
      <c r="J14" s="193">
        <f>+'ESQUEMAS DE MAYOR'!J13+'ESQUEMAS DE MAYOR'!J14</f>
        <v>240</v>
      </c>
      <c r="K14" s="130"/>
      <c r="L14" s="193">
        <f>+G14+J14</f>
        <v>1440</v>
      </c>
      <c r="M14" s="130"/>
      <c r="N14" s="130"/>
      <c r="O14" s="130"/>
      <c r="P14" s="193">
        <f>+L14</f>
        <v>1440</v>
      </c>
      <c r="Q14" s="130"/>
      <c r="R14" s="144">
        <v>6</v>
      </c>
    </row>
    <row r="15" spans="1:18" x14ac:dyDescent="0.25">
      <c r="A15" s="143">
        <v>7</v>
      </c>
      <c r="B15" s="130">
        <v>1108</v>
      </c>
      <c r="C15" s="131" t="str">
        <f>LOOKUP(B15,'BALANZA DE COMPROBACION'!A16:A81,'BALANZA DE COMPROBACION'!B16:B81)</f>
        <v>PAGOS ANTICIPADOS</v>
      </c>
      <c r="D15" s="130"/>
      <c r="E15" s="191">
        <f>LOOKUP(B15,'BALANZA DE COMPROBACION'!A10:A75,'BALANZA DE COMPROBACION'!E10:E75)</f>
        <v>0</v>
      </c>
      <c r="F15" s="191">
        <f>LOOKUP(B15,'BALANZA DE COMPROBACION'!A16:A81,'BALANZA DE COMPROBACION'!F16:F81)</f>
        <v>0</v>
      </c>
      <c r="G15" s="191">
        <f>LOOKUP(B15,'BALANZA DE COMPROBACION'!A16:A81,'BALANZA DE COMPROBACION'!G16:G81)</f>
        <v>0</v>
      </c>
      <c r="H15" s="191">
        <f>+LOOKUP(B15,'BALANZA DE COMPROBACION'!A16:A71,'BALANZA DE COMPROBACION'!H16:H71)</f>
        <v>0</v>
      </c>
      <c r="I15" s="130"/>
      <c r="J15" s="130"/>
      <c r="K15" s="130"/>
      <c r="L15" s="130"/>
      <c r="M15" s="130"/>
      <c r="N15" s="130"/>
      <c r="O15" s="130"/>
      <c r="P15" s="130"/>
      <c r="Q15" s="130"/>
      <c r="R15" s="144">
        <v>7</v>
      </c>
    </row>
    <row r="16" spans="1:18" x14ac:dyDescent="0.25">
      <c r="A16" s="143">
        <v>8</v>
      </c>
      <c r="B16" s="130">
        <v>1109</v>
      </c>
      <c r="C16" s="131" t="str">
        <f>LOOKUP(B16,'BALANZA DE COMPROBACION'!A17:A82,'BALANZA DE COMPROBACION'!B17:B82)</f>
        <v>ESTIMACIONES</v>
      </c>
      <c r="D16" s="130"/>
      <c r="E16" s="191">
        <f>LOOKUP(B16,'BALANZA DE COMPROBACION'!A10:A75,'BALANZA DE COMPROBACION'!E10:E75)</f>
        <v>0</v>
      </c>
      <c r="F16" s="191">
        <f>LOOKUP(B16,'BALANZA DE COMPROBACION'!A17:A82,'BALANZA DE COMPROBACION'!F17:F82)</f>
        <v>0</v>
      </c>
      <c r="G16" s="191">
        <f>LOOKUP(B16,'BALANZA DE COMPROBACION'!A17:A82,'BALANZA DE COMPROBACION'!G17:G82)</f>
        <v>0</v>
      </c>
      <c r="H16" s="191">
        <f>+LOOKUP(B16,'BALANZA DE COMPROBACION'!A17:A72,'BALANZA DE COMPROBACION'!H17:H72)</f>
        <v>0</v>
      </c>
      <c r="I16" s="130"/>
      <c r="J16" s="130"/>
      <c r="K16" s="130"/>
      <c r="L16" s="130"/>
      <c r="M16" s="130"/>
      <c r="N16" s="130"/>
      <c r="O16" s="130"/>
      <c r="P16" s="130"/>
      <c r="Q16" s="130"/>
      <c r="R16" s="144">
        <v>8</v>
      </c>
    </row>
    <row r="17" spans="1:18" x14ac:dyDescent="0.25">
      <c r="A17" s="143">
        <v>9</v>
      </c>
      <c r="B17" s="130">
        <v>1110</v>
      </c>
      <c r="C17" s="131" t="str">
        <f>LOOKUP(B17,'BALANZA DE COMPROBACION'!A18:A83,'BALANZA DE COMPROBACION'!B18:B83)</f>
        <v>SUPERAVIT</v>
      </c>
      <c r="D17" s="130"/>
      <c r="E17" s="191">
        <f>LOOKUP(B17,'BALANZA DE COMPROBACION'!A10:A75,'BALANZA DE COMPROBACION'!E10:E75)</f>
        <v>0</v>
      </c>
      <c r="F17" s="191">
        <f>LOOKUP(B17,'BALANZA DE COMPROBACION'!A18:A83,'BALANZA DE COMPROBACION'!F18:F83)</f>
        <v>0</v>
      </c>
      <c r="G17" s="191">
        <f>LOOKUP(B17,'BALANZA DE COMPROBACION'!A18:A83,'BALANZA DE COMPROBACION'!G18:G83)</f>
        <v>0</v>
      </c>
      <c r="H17" s="191">
        <f>+LOOKUP(B17,'BALANZA DE COMPROBACION'!A18:A73,'BALANZA DE COMPROBACION'!H18:H73)</f>
        <v>0</v>
      </c>
      <c r="I17" s="130"/>
      <c r="J17" s="130"/>
      <c r="K17" s="130"/>
      <c r="L17" s="130"/>
      <c r="M17" s="130"/>
      <c r="N17" s="130"/>
      <c r="O17" s="130"/>
      <c r="P17" s="130"/>
      <c r="Q17" s="130"/>
      <c r="R17" s="144">
        <v>9</v>
      </c>
    </row>
    <row r="18" spans="1:18" x14ac:dyDescent="0.25">
      <c r="A18" s="143">
        <v>10</v>
      </c>
      <c r="B18" s="130">
        <v>1111</v>
      </c>
      <c r="C18" s="131" t="str">
        <f>LOOKUP(B18,'BALANZA DE COMPROBACION'!A19:A84,'BALANZA DE COMPROBACION'!B19:B84)</f>
        <v>Depreciacion acumulada</v>
      </c>
      <c r="D18" s="130"/>
      <c r="E18" s="191">
        <f>LOOKUP(B18,'BALANZA DE COMPROBACION'!A10:A75,'BALANZA DE COMPROBACION'!E10:E75)</f>
        <v>0</v>
      </c>
      <c r="F18" s="191">
        <f>LOOKUP(B18,'BALANZA DE COMPROBACION'!A19:A84,'BALANZA DE COMPROBACION'!F19:F84)</f>
        <v>0</v>
      </c>
      <c r="G18" s="191">
        <f>LOOKUP(B18,'BALANZA DE COMPROBACION'!A19:A84,'BALANZA DE COMPROBACION'!G19:G84)</f>
        <v>0</v>
      </c>
      <c r="H18" s="191">
        <f>+LOOKUP(B18,'BALANZA DE COMPROBACION'!A19:A74,'BALANZA DE COMPROBACION'!H19:H74)</f>
        <v>0</v>
      </c>
      <c r="I18" s="130"/>
      <c r="J18" s="130"/>
      <c r="K18" s="130"/>
      <c r="L18" s="130"/>
      <c r="M18" s="130"/>
      <c r="N18" s="130"/>
      <c r="O18" s="130"/>
      <c r="P18" s="130"/>
      <c r="Q18" s="130"/>
      <c r="R18" s="144">
        <v>10</v>
      </c>
    </row>
    <row r="19" spans="1:18" x14ac:dyDescent="0.25">
      <c r="A19" s="143">
        <v>11</v>
      </c>
      <c r="B19" s="130">
        <v>1112</v>
      </c>
      <c r="C19" s="131" t="str">
        <f>LOOKUP(B19,'BALANZA DE COMPROBACION'!A20:A85,'BALANZA DE COMPROBACION'!B20:B85)</f>
        <v>AMORTIZACION</v>
      </c>
      <c r="D19" s="130"/>
      <c r="E19" s="191">
        <f>LOOKUP(B19,'BALANZA DE COMPROBACION'!A10:A75,'BALANZA DE COMPROBACION'!E10:E75)</f>
        <v>0</v>
      </c>
      <c r="F19" s="191">
        <f>LOOKUP(B19,'BALANZA DE COMPROBACION'!A20:A85,'BALANZA DE COMPROBACION'!F20:F85)</f>
        <v>0</v>
      </c>
      <c r="G19" s="191">
        <f>LOOKUP(B19,'BALANZA DE COMPROBACION'!A20:A85,'BALANZA DE COMPROBACION'!G20:G85)</f>
        <v>0</v>
      </c>
      <c r="H19" s="191">
        <f>+LOOKUP(B19,'BALANZA DE COMPROBACION'!A20:A75,'BALANZA DE COMPROBACION'!H20:H75)</f>
        <v>0</v>
      </c>
      <c r="I19" s="130"/>
      <c r="J19" s="130"/>
      <c r="K19" s="130"/>
      <c r="L19" s="130"/>
      <c r="M19" s="130"/>
      <c r="N19" s="130"/>
      <c r="O19" s="130"/>
      <c r="P19" s="130"/>
      <c r="Q19" s="130"/>
      <c r="R19" s="144">
        <v>11</v>
      </c>
    </row>
    <row r="20" spans="1:18" x14ac:dyDescent="0.25">
      <c r="A20" s="143">
        <v>12</v>
      </c>
      <c r="B20" s="130">
        <v>1201</v>
      </c>
      <c r="C20" s="131" t="str">
        <f>LOOKUP(B20,'BALANZA DE COMPROBACION'!A21:A86,'BALANZA DE COMPROBACION'!B21:B86)</f>
        <v>TERRENOS</v>
      </c>
      <c r="D20" s="130"/>
      <c r="E20" s="191">
        <f>LOOKUP(B20,'BALANZA DE COMPROBACION'!A10:A75,'BALANZA DE COMPROBACION'!E10:E75)</f>
        <v>500000</v>
      </c>
      <c r="F20" s="191">
        <f>LOOKUP(B20,'BALANZA DE COMPROBACION'!A21:A86,'BALANZA DE COMPROBACION'!F21:F86)</f>
        <v>0</v>
      </c>
      <c r="G20" s="191">
        <f>LOOKUP(B20,'BALANZA DE COMPROBACION'!A21:A86,'BALANZA DE COMPROBACION'!G21:G86)</f>
        <v>500000</v>
      </c>
      <c r="H20" s="191">
        <f>+LOOKUP(B20,'BALANZA DE COMPROBACION'!A21:A76,'BALANZA DE COMPROBACION'!H21:H76)</f>
        <v>0</v>
      </c>
      <c r="I20" s="130"/>
      <c r="J20" s="193">
        <f>+'ESQUEMAS DE MAYOR'!N34</f>
        <v>250000</v>
      </c>
      <c r="K20" s="130"/>
      <c r="L20" s="193">
        <f>+G20+J20</f>
        <v>750000</v>
      </c>
      <c r="M20" s="130"/>
      <c r="N20" s="130"/>
      <c r="O20" s="130"/>
      <c r="P20" s="193">
        <f>+L20</f>
        <v>750000</v>
      </c>
      <c r="Q20" s="130"/>
      <c r="R20" s="144">
        <v>12</v>
      </c>
    </row>
    <row r="21" spans="1:18" x14ac:dyDescent="0.25">
      <c r="A21" s="143">
        <v>13</v>
      </c>
      <c r="B21" s="130">
        <v>1202</v>
      </c>
      <c r="C21" s="131" t="str">
        <f>LOOKUP(B21,'BALANZA DE COMPROBACION'!A22:A87,'BALANZA DE COMPROBACION'!B22:B87)</f>
        <v>EDIFICIOS</v>
      </c>
      <c r="D21" s="130"/>
      <c r="E21" s="191">
        <f>LOOKUP(B21,'BALANZA DE COMPROBACION'!A10:A75,'BALANZA DE COMPROBACION'!E10:E75)</f>
        <v>150000</v>
      </c>
      <c r="F21" s="191">
        <f>LOOKUP(B21,'BALANZA DE COMPROBACION'!A22:A87,'BALANZA DE COMPROBACION'!F22:F87)</f>
        <v>0</v>
      </c>
      <c r="G21" s="191">
        <f>LOOKUP(B21,'BALANZA DE COMPROBACION'!A22:A87,'BALANZA DE COMPROBACION'!G22:G87)</f>
        <v>150000</v>
      </c>
      <c r="H21" s="191">
        <f>+LOOKUP(B21,'BALANZA DE COMPROBACION'!A22:A77,'BALANZA DE COMPROBACION'!H22:H77)</f>
        <v>0</v>
      </c>
      <c r="I21" s="130"/>
      <c r="J21" s="130"/>
      <c r="K21" s="130"/>
      <c r="L21" s="191">
        <f>+G21</f>
        <v>150000</v>
      </c>
      <c r="M21" s="130"/>
      <c r="N21" s="130"/>
      <c r="O21" s="130"/>
      <c r="P21" s="191">
        <f>+L21</f>
        <v>150000</v>
      </c>
      <c r="Q21" s="130"/>
      <c r="R21" s="144">
        <v>13</v>
      </c>
    </row>
    <row r="22" spans="1:18" x14ac:dyDescent="0.25">
      <c r="A22" s="143">
        <v>14</v>
      </c>
      <c r="B22" s="130">
        <v>1203</v>
      </c>
      <c r="C22" s="131" t="str">
        <f>LOOKUP(B22,'BALANZA DE COMPROBACION'!A23:A88,'BALANZA DE COMPROBACION'!B23:B88)</f>
        <v>GASTOS DE INSTALACION</v>
      </c>
      <c r="D22" s="130"/>
      <c r="E22" s="191">
        <f>LOOKUP(B22,'BALANZA DE COMPROBACION'!A10:A75,'BALANZA DE COMPROBACION'!E10:E75)</f>
        <v>5000</v>
      </c>
      <c r="F22" s="191">
        <f>LOOKUP(B22,'BALANZA DE COMPROBACION'!A23:A88,'BALANZA DE COMPROBACION'!F23:F88)</f>
        <v>0</v>
      </c>
      <c r="G22" s="191">
        <f>LOOKUP(B22,'BALANZA DE COMPROBACION'!A23:A88,'BALANZA DE COMPROBACION'!G23:G88)</f>
        <v>5000</v>
      </c>
      <c r="H22" s="191">
        <f>+LOOKUP(B22,'BALANZA DE COMPROBACION'!A23:A78,'BALANZA DE COMPROBACION'!H23:H78)</f>
        <v>0</v>
      </c>
      <c r="I22" s="130"/>
      <c r="J22" s="130"/>
      <c r="K22" s="130"/>
      <c r="L22" s="191">
        <f>+G22</f>
        <v>5000</v>
      </c>
      <c r="M22" s="130"/>
      <c r="N22" s="130"/>
      <c r="O22" s="130"/>
      <c r="P22" s="191">
        <f>+L22</f>
        <v>5000</v>
      </c>
      <c r="Q22" s="130"/>
      <c r="R22" s="144">
        <v>14</v>
      </c>
    </row>
    <row r="23" spans="1:18" x14ac:dyDescent="0.25">
      <c r="A23" s="143">
        <v>15</v>
      </c>
      <c r="B23" s="130">
        <v>1204</v>
      </c>
      <c r="C23" s="131" t="str">
        <f>LOOKUP(B23,'BALANZA DE COMPROBACION'!A24:A89,'BALANZA DE COMPROBACION'!B24:B89)</f>
        <v>PROPAGANDA</v>
      </c>
      <c r="D23" s="130"/>
      <c r="E23" s="191">
        <f>LOOKUP(B23,'BALANZA DE COMPROBACION'!A10:A75,'BALANZA DE COMPROBACION'!E10:E75)</f>
        <v>10000</v>
      </c>
      <c r="F23" s="191">
        <f>LOOKUP(B23,'BALANZA DE COMPROBACION'!A24:A89,'BALANZA DE COMPROBACION'!F24:F89)</f>
        <v>0</v>
      </c>
      <c r="G23" s="191">
        <f>LOOKUP(B23,'BALANZA DE COMPROBACION'!A24:A89,'BALANZA DE COMPROBACION'!G24:G89)</f>
        <v>10000</v>
      </c>
      <c r="H23" s="191">
        <f>+LOOKUP(B23,'BALANZA DE COMPROBACION'!A24:A79,'BALANZA DE COMPROBACION'!H24:H79)</f>
        <v>0</v>
      </c>
      <c r="I23" s="130"/>
      <c r="J23" s="130"/>
      <c r="K23" s="193">
        <f>+'ESQUEMAS DE MAYOR'!O26</f>
        <v>5000</v>
      </c>
      <c r="L23" s="193">
        <f>+G23-K23</f>
        <v>5000</v>
      </c>
      <c r="M23" s="130"/>
      <c r="N23" s="130"/>
      <c r="O23" s="130"/>
      <c r="P23" s="193">
        <f>+L23</f>
        <v>5000</v>
      </c>
      <c r="Q23" s="130"/>
      <c r="R23" s="144">
        <v>15</v>
      </c>
    </row>
    <row r="24" spans="1:18" x14ac:dyDescent="0.25">
      <c r="A24" s="143">
        <v>16</v>
      </c>
      <c r="B24" s="130">
        <v>2101</v>
      </c>
      <c r="C24" s="131" t="str">
        <f>LOOKUP(B24,'BALANZA DE COMPROBACION'!A25:A90,'BALANZA DE COMPROBACION'!B25:B90)</f>
        <v>PROVEEDORES</v>
      </c>
      <c r="D24" s="130"/>
      <c r="E24" s="191">
        <f>LOOKUP(B24,'BALANZA DE COMPROBACION'!A10:A75,'BALANZA DE COMPROBACION'!E10:E75)</f>
        <v>0</v>
      </c>
      <c r="F24" s="191">
        <f>LOOKUP(B24,'BALANZA DE COMPROBACION'!A25:A90,'BALANZA DE COMPROBACION'!F25:F90)</f>
        <v>8700</v>
      </c>
      <c r="G24" s="191">
        <f>LOOKUP(B24,'BALANZA DE COMPROBACION'!A25:A90,'BALANZA DE COMPROBACION'!G25:G90)</f>
        <v>0</v>
      </c>
      <c r="H24" s="191">
        <f>+LOOKUP(B24,'BALANZA DE COMPROBACION'!A25:A80,'BALANZA DE COMPROBACION'!H25:H80)</f>
        <v>8700</v>
      </c>
      <c r="I24" s="130"/>
      <c r="J24" s="130"/>
      <c r="K24" s="130"/>
      <c r="L24" s="130"/>
      <c r="M24" s="191">
        <f>+H24</f>
        <v>8700</v>
      </c>
      <c r="N24" s="130"/>
      <c r="O24" s="130"/>
      <c r="P24" s="130"/>
      <c r="Q24" s="191">
        <f>+M24</f>
        <v>8700</v>
      </c>
      <c r="R24" s="144">
        <v>16</v>
      </c>
    </row>
    <row r="25" spans="1:18" x14ac:dyDescent="0.25">
      <c r="A25" s="143">
        <v>17</v>
      </c>
      <c r="B25" s="130">
        <v>2102</v>
      </c>
      <c r="C25" s="131" t="str">
        <f>LOOKUP(B25,'BALANZA DE COMPROBACION'!A26:A91,'BALANZA DE COMPROBACION'!B26:B91)</f>
        <v>IVA TRASLADADO</v>
      </c>
      <c r="D25" s="130"/>
      <c r="E25" s="191">
        <f>LOOKUP(B25,'BALANZA DE COMPROBACION'!A10:A75,'BALANZA DE COMPROBACION'!E10:E75)</f>
        <v>0</v>
      </c>
      <c r="F25" s="191">
        <f>LOOKUP(B25,'BALANZA DE COMPROBACION'!A26:A91,'BALANZA DE COMPROBACION'!F26:F91)</f>
        <v>6699.8289655172421</v>
      </c>
      <c r="G25" s="191">
        <f>LOOKUP(B25,'BALANZA DE COMPROBACION'!A26:A91,'BALANZA DE COMPROBACION'!G26:G91)</f>
        <v>0</v>
      </c>
      <c r="H25" s="191">
        <f>+LOOKUP(B25,'BALANZA DE COMPROBACION'!A26:A81,'BALANZA DE COMPROBACION'!H26:H81)</f>
        <v>6699.8289655172421</v>
      </c>
      <c r="I25" s="130"/>
      <c r="J25" s="191">
        <f>+'ESQUEMAS DE MAYOR'!F21</f>
        <v>6699.8289655172421</v>
      </c>
      <c r="K25" s="130"/>
      <c r="L25" s="130"/>
      <c r="M25" s="130"/>
      <c r="N25" s="130"/>
      <c r="O25" s="130"/>
      <c r="P25" s="130"/>
      <c r="Q25" s="130"/>
      <c r="R25" s="144">
        <v>17</v>
      </c>
    </row>
    <row r="26" spans="1:18" x14ac:dyDescent="0.25">
      <c r="A26" s="143">
        <v>18</v>
      </c>
      <c r="B26" s="130">
        <v>2103</v>
      </c>
      <c r="C26" s="131" t="str">
        <f>LOOKUP(B26,'BALANZA DE COMPROBACION'!A27:A92,'BALANZA DE COMPROBACION'!B27:B92)</f>
        <v>IVA PEND. TRASLADAR</v>
      </c>
      <c r="D26" s="130"/>
      <c r="E26" s="191">
        <f>LOOKUP(B26,'BALANZA DE COMPROBACION'!A10:A75,'BALANZA DE COMPROBACION'!E10:E75)</f>
        <v>3862.0689655172418</v>
      </c>
      <c r="F26" s="191">
        <f>LOOKUP(B26,'BALANZA DE COMPROBACION'!A27:A92,'BALANZA DE COMPROBACION'!F27:F92)</f>
        <v>5600</v>
      </c>
      <c r="G26" s="191">
        <f>LOOKUP(B26,'BALANZA DE COMPROBACION'!A27:A92,'BALANZA DE COMPROBACION'!G27:G92)</f>
        <v>0</v>
      </c>
      <c r="H26" s="191">
        <f>+LOOKUP(B26,'BALANZA DE COMPROBACION'!A27:A82,'BALANZA DE COMPROBACION'!H27:H82)</f>
        <v>1737.9310344827582</v>
      </c>
      <c r="I26" s="130"/>
      <c r="J26" s="191">
        <f>+'ESQUEMAS DE MAYOR'!J21</f>
        <v>86.896551724137936</v>
      </c>
      <c r="K26" s="130"/>
      <c r="L26" s="130"/>
      <c r="M26" s="191">
        <f>+H26-J26</f>
        <v>1651.0344827586202</v>
      </c>
      <c r="N26" s="130"/>
      <c r="O26" s="130"/>
      <c r="P26" s="130"/>
      <c r="Q26" s="191">
        <f>+M26</f>
        <v>1651.0344827586202</v>
      </c>
      <c r="R26" s="144">
        <v>18</v>
      </c>
    </row>
    <row r="27" spans="1:18" x14ac:dyDescent="0.25">
      <c r="A27" s="143">
        <v>19</v>
      </c>
      <c r="B27" s="130">
        <v>2104</v>
      </c>
      <c r="C27" s="131" t="str">
        <f>LOOKUP(B27,'BALANZA DE COMPROBACION'!A28:A93,'BALANZA DE COMPROBACION'!B28:B93)</f>
        <v>IMPUESTOS POR PAGAR</v>
      </c>
      <c r="D27" s="130"/>
      <c r="E27" s="191">
        <f>LOOKUP(B27,'BALANZA DE COMPROBACION'!A10:A75,'BALANZA DE COMPROBACION'!E10:E75)</f>
        <v>0</v>
      </c>
      <c r="F27" s="191">
        <f>LOOKUP(B27,'BALANZA DE COMPROBACION'!A28:A93,'BALANZA DE COMPROBACION'!F28:F93)</f>
        <v>0</v>
      </c>
      <c r="G27" s="191">
        <f>LOOKUP(B27,'BALANZA DE COMPROBACION'!A28:A93,'BALANZA DE COMPROBACION'!G28:G93)</f>
        <v>0</v>
      </c>
      <c r="H27" s="191">
        <f>+LOOKUP(B27,'BALANZA DE COMPROBACION'!A28:A83,'BALANZA DE COMPROBACION'!H28:H83)</f>
        <v>0</v>
      </c>
      <c r="I27" s="130"/>
      <c r="J27" s="130"/>
      <c r="K27" s="130"/>
      <c r="L27" s="130"/>
      <c r="M27" s="130"/>
      <c r="N27" s="130"/>
      <c r="O27" s="130"/>
      <c r="P27" s="130"/>
      <c r="Q27" s="130"/>
      <c r="R27" s="144">
        <v>19</v>
      </c>
    </row>
    <row r="28" spans="1:18" x14ac:dyDescent="0.25">
      <c r="A28" s="143">
        <v>20</v>
      </c>
      <c r="B28" s="130">
        <v>2105</v>
      </c>
      <c r="C28" s="131" t="str">
        <f>LOOKUP(B28,'BALANZA DE COMPROBACION'!A29:A94,'BALANZA DE COMPROBACION'!B29:B94)</f>
        <v>ACREEDORES</v>
      </c>
      <c r="D28" s="130"/>
      <c r="E28" s="191">
        <f>LOOKUP(B28,'BALANZA DE COMPROBACION'!A10:A75,'BALANZA DE COMPROBACION'!E10:E75)</f>
        <v>0</v>
      </c>
      <c r="F28" s="191">
        <f>LOOKUP(B28,'BALANZA DE COMPROBACION'!A29:A94,'BALANZA DE COMPROBACION'!F29:F94)</f>
        <v>0</v>
      </c>
      <c r="G28" s="191">
        <f>LOOKUP(B28,'BALANZA DE COMPROBACION'!A29:A94,'BALANZA DE COMPROBACION'!G29:G94)</f>
        <v>0</v>
      </c>
      <c r="H28" s="191">
        <f>+LOOKUP(B28,'BALANZA DE COMPROBACION'!A29:A84,'BALANZA DE COMPROBACION'!H29:H84)</f>
        <v>0</v>
      </c>
      <c r="I28" s="130"/>
      <c r="J28" s="130"/>
      <c r="K28" s="130"/>
      <c r="L28" s="130"/>
      <c r="M28" s="130"/>
      <c r="N28" s="130"/>
      <c r="O28" s="130"/>
      <c r="P28" s="130"/>
      <c r="Q28" s="130"/>
      <c r="R28" s="144">
        <v>20</v>
      </c>
    </row>
    <row r="29" spans="1:18" x14ac:dyDescent="0.25">
      <c r="A29" s="143">
        <v>21</v>
      </c>
      <c r="B29" s="130">
        <v>2106</v>
      </c>
      <c r="C29" s="131" t="str">
        <f>LOOKUP(B29,'BALANZA DE COMPROBACION'!A30:A95,'BALANZA DE COMPROBACION'!B30:B95)</f>
        <v>RENTAS COBRADAS</v>
      </c>
      <c r="D29" s="130"/>
      <c r="E29" s="191">
        <f>LOOKUP(B29,'BALANZA DE COMPROBACION'!A10:A75,'BALANZA DE COMPROBACION'!E10:E75)</f>
        <v>0</v>
      </c>
      <c r="F29" s="191">
        <f>LOOKUP(B29,'BALANZA DE COMPROBACION'!A30:A95,'BALANZA DE COMPROBACION'!F30:F95)</f>
        <v>30000</v>
      </c>
      <c r="G29" s="191">
        <f>LOOKUP(B29,'BALANZA DE COMPROBACION'!A30:A95,'BALANZA DE COMPROBACION'!G30:G95)</f>
        <v>0</v>
      </c>
      <c r="H29" s="191">
        <f>+LOOKUP(B29,'BALANZA DE COMPROBACION'!A30:A85,'BALANZA DE COMPROBACION'!H30:H85)</f>
        <v>30000</v>
      </c>
      <c r="I29" s="130"/>
      <c r="J29" s="193">
        <f>+'ESQUEMAS DE MAYOR'!F40</f>
        <v>15000</v>
      </c>
      <c r="K29" s="130"/>
      <c r="L29" s="130"/>
      <c r="M29" s="193">
        <f>+H29-J29</f>
        <v>15000</v>
      </c>
      <c r="N29" s="130"/>
      <c r="O29" s="130"/>
      <c r="P29" s="130"/>
      <c r="Q29" s="193">
        <f>+M29</f>
        <v>15000</v>
      </c>
      <c r="R29" s="144">
        <v>21</v>
      </c>
    </row>
    <row r="30" spans="1:18" x14ac:dyDescent="0.25">
      <c r="A30" s="143">
        <v>22</v>
      </c>
      <c r="B30" s="130">
        <v>3000</v>
      </c>
      <c r="C30" s="131" t="str">
        <f>LOOKUP(B30,'BALANZA DE COMPROBACION'!A31:A96,'BALANZA DE COMPROBACION'!B31:B96)</f>
        <v>CAPITAL</v>
      </c>
      <c r="D30" s="130"/>
      <c r="E30" s="191">
        <f>LOOKUP(B30,'BALANZA DE COMPROBACION'!A10:A75,'BALANZA DE COMPROBACION'!E10:E75)</f>
        <v>0</v>
      </c>
      <c r="F30" s="191">
        <f>LOOKUP(B30,'BALANZA DE COMPROBACION'!A31:A96,'BALANZA DE COMPROBACION'!F31:F96)</f>
        <v>680000</v>
      </c>
      <c r="G30" s="191">
        <f>LOOKUP(B30,'BALANZA DE COMPROBACION'!A31:A96,'BALANZA DE COMPROBACION'!G31:G96)</f>
        <v>0</v>
      </c>
      <c r="H30" s="191">
        <f>+LOOKUP(B30,'BALANZA DE COMPROBACION'!A31:A86,'BALANZA DE COMPROBACION'!H31:H86)</f>
        <v>680000</v>
      </c>
      <c r="I30" s="130"/>
      <c r="J30" s="130"/>
      <c r="K30" s="130"/>
      <c r="L30" s="130"/>
      <c r="M30" s="191">
        <f>+H30</f>
        <v>680000</v>
      </c>
      <c r="N30" s="130"/>
      <c r="O30" s="130"/>
      <c r="P30" s="130"/>
      <c r="Q30" s="191">
        <f>+M30</f>
        <v>680000</v>
      </c>
      <c r="R30" s="144">
        <v>22</v>
      </c>
    </row>
    <row r="31" spans="1:18" x14ac:dyDescent="0.25">
      <c r="A31" s="143">
        <v>23</v>
      </c>
      <c r="B31" s="130">
        <v>4000</v>
      </c>
      <c r="C31" s="131" t="str">
        <f>LOOKUP(B31,'BALANZA DE COMPROBACION'!A32:A97,'BALANZA DE COMPROBACION'!B32:B97)</f>
        <v>VENTAS</v>
      </c>
      <c r="D31" s="130"/>
      <c r="E31" s="191">
        <f>LOOKUP(B31,'BALANZA DE COMPROBACION'!A10:A75,'BALANZA DE COMPROBACION'!E10:E75)</f>
        <v>5464</v>
      </c>
      <c r="F31" s="191">
        <f>LOOKUP(B31,'BALANZA DE COMPROBACION'!A32:A97,'BALANZA DE COMPROBACION'!F32:F97)</f>
        <v>58200</v>
      </c>
      <c r="G31" s="191">
        <f>LOOKUP(B31,'BALANZA DE COMPROBACION'!A32:A97,'BALANZA DE COMPROBACION'!G32:G97)</f>
        <v>0</v>
      </c>
      <c r="H31" s="191">
        <f>+LOOKUP(B31,'BALANZA DE COMPROBACION'!A32:A87,'BALANZA DE COMPROBACION'!H32:H87)</f>
        <v>52736</v>
      </c>
      <c r="I31" s="130"/>
      <c r="J31" s="130"/>
      <c r="K31" s="130"/>
      <c r="L31" s="130"/>
      <c r="M31" s="191">
        <f>+H31</f>
        <v>52736</v>
      </c>
      <c r="N31" s="191">
        <f>+M31</f>
        <v>52736</v>
      </c>
      <c r="O31" s="130"/>
      <c r="P31" s="130"/>
      <c r="Q31" s="130"/>
      <c r="R31" s="144">
        <v>23</v>
      </c>
    </row>
    <row r="32" spans="1:18" x14ac:dyDescent="0.25">
      <c r="A32" s="143">
        <v>24</v>
      </c>
      <c r="B32" s="130">
        <v>5101</v>
      </c>
      <c r="C32" s="131" t="str">
        <f>LOOKUP(B32,'BALANZA DE COMPROBACION'!A33:A98,'BALANZA DE COMPROBACION'!B33:B98)</f>
        <v>COSTO DE VENTA</v>
      </c>
      <c r="D32" s="130"/>
      <c r="E32" s="191">
        <f>LOOKUP(B32,'BALANZA DE COMPROBACION'!A10:A75,'BALANZA DE COMPROBACION'!E10:E75)</f>
        <v>15528.857142857143</v>
      </c>
      <c r="F32" s="191">
        <f>LOOKUP(B32,'BALANZA DE COMPROBACION'!A33:A98,'BALANZA DE COMPROBACION'!F33:F98)</f>
        <v>1350</v>
      </c>
      <c r="G32" s="191">
        <f>LOOKUP(B32,'BALANZA DE COMPROBACION'!A33:A98,'BALANZA DE COMPROBACION'!G33:G98)</f>
        <v>14178.857142857143</v>
      </c>
      <c r="H32" s="191">
        <f>+LOOKUP(B32,'BALANZA DE COMPROBACION'!A33:A88,'BALANZA DE COMPROBACION'!H33:H88)</f>
        <v>0</v>
      </c>
      <c r="I32" s="130"/>
      <c r="J32" s="130"/>
      <c r="K32" s="130"/>
      <c r="L32" s="191">
        <f>+G32</f>
        <v>14178.857142857143</v>
      </c>
      <c r="M32" s="130"/>
      <c r="N32" s="130"/>
      <c r="O32" s="191">
        <f>+L32</f>
        <v>14178.857142857143</v>
      </c>
      <c r="P32" s="130"/>
      <c r="Q32" s="130"/>
      <c r="R32" s="144">
        <v>24</v>
      </c>
    </row>
    <row r="33" spans="1:18" x14ac:dyDescent="0.25">
      <c r="A33" s="143">
        <v>25</v>
      </c>
      <c r="B33" s="130">
        <v>5102</v>
      </c>
      <c r="C33" s="131" t="str">
        <f>LOOKUP(B33,'BALANZA DE COMPROBACION'!A34:A99,'BALANZA DE COMPROBACION'!B34:B99)</f>
        <v>GASTOS DE ADMON</v>
      </c>
      <c r="D33" s="130"/>
      <c r="E33" s="191">
        <f>LOOKUP(B33,'BALANZA DE COMPROBACION'!A10:A75,'BALANZA DE COMPROBACION'!E10:E75)</f>
        <v>0</v>
      </c>
      <c r="F33" s="191">
        <f>LOOKUP(B33,'BALANZA DE COMPROBACION'!A34:A99,'BALANZA DE COMPROBACION'!F34:F99)</f>
        <v>0</v>
      </c>
      <c r="G33" s="191">
        <f>LOOKUP(B33,'BALANZA DE COMPROBACION'!A34:A99,'BALANZA DE COMPROBACION'!G34:G99)</f>
        <v>0</v>
      </c>
      <c r="H33" s="191">
        <f>+LOOKUP(B33,'BALANZA DE COMPROBACION'!A34:A89,'BALANZA DE COMPROBACION'!H34:H89)</f>
        <v>0</v>
      </c>
      <c r="I33" s="130"/>
      <c r="J33" s="194">
        <f>+'ESQUEMAS DE MAYOR'!F26+'ESQUEMAS DE MAYOR'!F27+'ESQUEMAS DE MAYOR'!F28+'ESQUEMAS DE MAYOR'!F29+'ESQUEMAS DE MAYOR'!F33</f>
        <v>6566.2</v>
      </c>
      <c r="K33" s="130"/>
      <c r="L33" s="194">
        <f>+J33</f>
        <v>6566.2</v>
      </c>
      <c r="M33" s="130"/>
      <c r="N33" s="130"/>
      <c r="O33" s="194">
        <f>+L33</f>
        <v>6566.2</v>
      </c>
      <c r="P33" s="130"/>
      <c r="Q33" s="130"/>
      <c r="R33" s="144">
        <v>25</v>
      </c>
    </row>
    <row r="34" spans="1:18" x14ac:dyDescent="0.25">
      <c r="A34" s="143">
        <v>26</v>
      </c>
      <c r="B34" s="130">
        <v>5103</v>
      </c>
      <c r="C34" s="131" t="str">
        <f>LOOKUP(B34,'BALANZA DE COMPROBACION'!A35:A100,'BALANZA DE COMPROBACION'!B35:B100)</f>
        <v>GASTO DE VENTA</v>
      </c>
      <c r="D34" s="130"/>
      <c r="E34" s="191">
        <f>LOOKUP(B34,'BALANZA DE COMPROBACION'!A10:A75,'BALANZA DE COMPROBACION'!E10:E75)</f>
        <v>0</v>
      </c>
      <c r="F34" s="191">
        <f>LOOKUP(B34,'BALANZA DE COMPROBACION'!A35:A100,'BALANZA DE COMPROBACION'!F35:F100)</f>
        <v>0</v>
      </c>
      <c r="G34" s="191">
        <f>LOOKUP(B34,'BALANZA DE COMPROBACION'!A35:A100,'BALANZA DE COMPROBACION'!G35:G100)</f>
        <v>0</v>
      </c>
      <c r="H34" s="191">
        <f>+LOOKUP(B34,'BALANZA DE COMPROBACION'!A35:A90,'BALANZA DE COMPROBACION'!H35:H90)</f>
        <v>0</v>
      </c>
      <c r="I34" s="195"/>
      <c r="J34" s="191">
        <f>'ESQUEMAS DE MAYOR'!B33+'ESQUEMAS DE MAYOR'!B34+'ESQUEMAS DE MAYOR'!B35+'ESQUEMAS DE MAYOR'!B36+'ESQUEMAS DE MAYOR'!N47+'ESQUEMAS DE MAYOR'!N48</f>
        <v>9174.9034482758616</v>
      </c>
      <c r="K34" s="130"/>
      <c r="L34" s="191">
        <f>+J34</f>
        <v>9174.9034482758616</v>
      </c>
      <c r="M34" s="130"/>
      <c r="N34" s="130"/>
      <c r="O34" s="191">
        <f>+L34</f>
        <v>9174.9034482758616</v>
      </c>
      <c r="P34" s="130"/>
      <c r="Q34" s="130"/>
      <c r="R34" s="144">
        <v>26</v>
      </c>
    </row>
    <row r="35" spans="1:18" x14ac:dyDescent="0.25">
      <c r="A35" s="143">
        <v>27</v>
      </c>
      <c r="B35" s="130">
        <v>6000</v>
      </c>
      <c r="C35" s="131" t="str">
        <f>LOOKUP(B35,'BALANZA DE COMPROBACION'!A36:A101,'BALANZA DE COMPROBACION'!B36:B101)</f>
        <v>OTROS GASTOS Y PRODUCTOS</v>
      </c>
      <c r="D35" s="130"/>
      <c r="E35" s="191">
        <f>LOOKUP(B35,'BALANZA DE COMPROBACION'!A10:A75,'BALANZA DE COMPROBACION'!E10:E75)</f>
        <v>0</v>
      </c>
      <c r="F35" s="191">
        <f>LOOKUP(B35,'BALANZA DE COMPROBACION'!A36:A101,'BALANZA DE COMPROBACION'!F36:F101)</f>
        <v>0</v>
      </c>
      <c r="G35" s="191">
        <f>LOOKUP(B35,'BALANZA DE COMPROBACION'!A36:A101,'BALANZA DE COMPROBACION'!G36:G101)</f>
        <v>0</v>
      </c>
      <c r="H35" s="191">
        <f>+LOOKUP(B35,'BALANZA DE COMPROBACION'!A36:A91,'BALANZA DE COMPROBACION'!H36:H91)</f>
        <v>0</v>
      </c>
      <c r="I35" s="130"/>
      <c r="J35" s="130"/>
      <c r="K35" s="191">
        <f>+'ESQUEMAS DE MAYOR'!G47</f>
        <v>15000</v>
      </c>
      <c r="L35" s="130"/>
      <c r="M35" s="191">
        <f>+K35</f>
        <v>15000</v>
      </c>
      <c r="N35" s="191">
        <f>+M35</f>
        <v>15000</v>
      </c>
      <c r="O35" s="130"/>
      <c r="P35" s="130"/>
      <c r="Q35" s="130"/>
      <c r="R35" s="144">
        <v>27</v>
      </c>
    </row>
    <row r="36" spans="1:18" x14ac:dyDescent="0.25">
      <c r="A36" s="143">
        <v>28</v>
      </c>
      <c r="B36" s="130">
        <v>6001</v>
      </c>
      <c r="C36" s="131" t="str">
        <f>LOOKUP(B36,'BALANZA DE COMPROBACION'!A37:A102,'BALANZA DE COMPROBACION'!B37:B102)</f>
        <v>GASTOS Y PRODUCTOS</v>
      </c>
      <c r="D36" s="130"/>
      <c r="E36" s="191">
        <f>LOOKUP(B36,'BALANZA DE COMPROBACION'!A10:A75,'BALANZA DE COMPROBACION'!E10:E75)</f>
        <v>0</v>
      </c>
      <c r="F36" s="191">
        <f>LOOKUP(B36,'BALANZA DE COMPROBACION'!A37:A102,'BALANZA DE COMPROBACION'!F37:F102)</f>
        <v>0</v>
      </c>
      <c r="G36" s="191">
        <f>LOOKUP(B36,'BALANZA DE COMPROBACION'!A37:A102,'BALANZA DE COMPROBACION'!G37:G102)</f>
        <v>0</v>
      </c>
      <c r="H36" s="191">
        <f>+LOOKUP(B36,'BALANZA DE COMPROBACION'!A37:A92,'BALANZA DE COMPROBACION'!H37:H92)</f>
        <v>0</v>
      </c>
      <c r="I36" s="130"/>
      <c r="J36" s="193">
        <f>+'ESQUEMAS DE MAYOR'!F34</f>
        <v>500</v>
      </c>
      <c r="K36" s="130"/>
      <c r="L36" s="193">
        <f>+J36</f>
        <v>500</v>
      </c>
      <c r="M36" s="130"/>
      <c r="N36" s="130"/>
      <c r="O36" s="193">
        <f>+L36</f>
        <v>500</v>
      </c>
      <c r="P36" s="130"/>
      <c r="Q36" s="130"/>
      <c r="R36" s="144">
        <v>28</v>
      </c>
    </row>
    <row r="37" spans="1:18" x14ac:dyDescent="0.25">
      <c r="A37" s="143">
        <v>29</v>
      </c>
      <c r="B37" s="130">
        <v>1109</v>
      </c>
      <c r="C37" s="131" t="str">
        <f ca="1">LOOKUP(B37,'BALANZA DE COMPROBACION'!A10:A175,'BALANZA DE COMPROBACION'!B10:B75)</f>
        <v>ESTIMACIONES</v>
      </c>
      <c r="D37" s="130"/>
      <c r="E37" s="191"/>
      <c r="F37" s="191"/>
      <c r="G37" s="191"/>
      <c r="H37" s="191"/>
      <c r="I37" s="130"/>
      <c r="J37" s="130"/>
      <c r="K37" s="193">
        <f>+'ESQUEMAS DE MAYOR'!K33</f>
        <v>630</v>
      </c>
      <c r="L37" s="130"/>
      <c r="M37" s="193">
        <f t="shared" ref="M37:M42" si="0">+K37</f>
        <v>630</v>
      </c>
      <c r="N37" s="130"/>
      <c r="O37" s="130"/>
      <c r="P37" s="130"/>
      <c r="Q37" s="193">
        <f t="shared" ref="Q37:Q42" si="1">+M37</f>
        <v>630</v>
      </c>
      <c r="R37" s="144">
        <v>29</v>
      </c>
    </row>
    <row r="38" spans="1:18" x14ac:dyDescent="0.25">
      <c r="A38" s="143">
        <v>30</v>
      </c>
      <c r="B38" s="130">
        <v>1110</v>
      </c>
      <c r="C38" s="131" t="str">
        <f ca="1">LOOKUP(B38,'BALANZA DE COMPROBACION'!A11:A176,'BALANZA DE COMPROBACION'!B11:B76)</f>
        <v>SUPERAVIT</v>
      </c>
      <c r="D38" s="130"/>
      <c r="E38" s="191"/>
      <c r="F38" s="191"/>
      <c r="G38" s="191"/>
      <c r="H38" s="191"/>
      <c r="I38" s="130"/>
      <c r="J38" s="192"/>
      <c r="K38" s="193">
        <f>+'ESQUEMAS DE MAYOR'!O40</f>
        <v>250000</v>
      </c>
      <c r="L38" s="130"/>
      <c r="M38" s="193">
        <f t="shared" si="0"/>
        <v>250000</v>
      </c>
      <c r="N38" s="130"/>
      <c r="O38" s="130"/>
      <c r="P38" s="130"/>
      <c r="Q38" s="193">
        <f t="shared" si="1"/>
        <v>250000</v>
      </c>
      <c r="R38" s="144">
        <v>30</v>
      </c>
    </row>
    <row r="39" spans="1:18" x14ac:dyDescent="0.25">
      <c r="A39" s="143">
        <v>31</v>
      </c>
      <c r="B39" s="130">
        <v>1111</v>
      </c>
      <c r="C39" s="131" t="str">
        <f ca="1">LOOKUP(B39,'BALANZA DE COMPROBACION'!A12:A177,'BALANZA DE COMPROBACION'!B12:B77)</f>
        <v>Depreciacion acumulada</v>
      </c>
      <c r="D39" s="130"/>
      <c r="E39" s="130"/>
      <c r="F39" s="130"/>
      <c r="G39" s="130"/>
      <c r="H39" s="130"/>
      <c r="I39" s="130"/>
      <c r="J39" s="130"/>
      <c r="K39" s="193">
        <f>+'ESQUEMAS DE MAYOR'!C47</f>
        <v>7500</v>
      </c>
      <c r="L39" s="130"/>
      <c r="M39" s="193">
        <f t="shared" si="0"/>
        <v>7500</v>
      </c>
      <c r="N39" s="130"/>
      <c r="O39" s="130"/>
      <c r="P39" s="130"/>
      <c r="Q39" s="193">
        <f t="shared" si="1"/>
        <v>7500</v>
      </c>
      <c r="R39" s="144">
        <v>31</v>
      </c>
    </row>
    <row r="40" spans="1:18" x14ac:dyDescent="0.25">
      <c r="A40" s="143">
        <v>32</v>
      </c>
      <c r="B40" s="130">
        <v>2105</v>
      </c>
      <c r="C40" s="131" t="str">
        <f ca="1">LOOKUP(B40,'BALANZA DE COMPROBACION'!A13:A178,'BALANZA DE COMPROBACION'!B13:B78)</f>
        <v>ACREEDORES</v>
      </c>
      <c r="D40" s="130"/>
      <c r="E40" s="130"/>
      <c r="F40" s="130"/>
      <c r="G40" s="130"/>
      <c r="H40" s="130"/>
      <c r="I40" s="130"/>
      <c r="J40" s="130"/>
      <c r="K40" s="130">
        <f>+'ESQUEMAS DE MAYOR'!K49</f>
        <v>1740</v>
      </c>
      <c r="L40" s="130"/>
      <c r="M40" s="130">
        <f t="shared" si="0"/>
        <v>1740</v>
      </c>
      <c r="N40" s="130"/>
      <c r="O40" s="130"/>
      <c r="P40" s="130"/>
      <c r="Q40" s="130">
        <f t="shared" si="1"/>
        <v>1740</v>
      </c>
      <c r="R40" s="144">
        <v>32</v>
      </c>
    </row>
    <row r="41" spans="1:18" x14ac:dyDescent="0.25">
      <c r="A41" s="143">
        <v>33</v>
      </c>
      <c r="B41" s="130">
        <v>1112</v>
      </c>
      <c r="C41" s="131" t="str">
        <f ca="1">LOOKUP(B41,'BALANZA DE COMPROBACION'!A14:A179,'BALANZA DE COMPROBACION'!B14:B79)</f>
        <v>AMORTIZACION</v>
      </c>
      <c r="D41" s="130"/>
      <c r="E41" s="130"/>
      <c r="F41" s="130"/>
      <c r="G41" s="130"/>
      <c r="H41" s="130"/>
      <c r="I41" s="130"/>
      <c r="J41" s="130"/>
      <c r="K41" s="193">
        <f>+'ESQUEMAS DE MAYOR'!O54</f>
        <v>500</v>
      </c>
      <c r="L41" s="130"/>
      <c r="M41" s="193">
        <f t="shared" si="0"/>
        <v>500</v>
      </c>
      <c r="N41" s="130"/>
      <c r="O41" s="130"/>
      <c r="P41" s="130"/>
      <c r="Q41" s="193">
        <f t="shared" si="1"/>
        <v>500</v>
      </c>
      <c r="R41" s="144">
        <v>33</v>
      </c>
    </row>
    <row r="42" spans="1:18" x14ac:dyDescent="0.25">
      <c r="A42" s="143">
        <v>34</v>
      </c>
      <c r="B42" s="199" t="s">
        <v>300</v>
      </c>
      <c r="C42" s="131" t="str">
        <f ca="1">LOOKUP(B42,'BALANZA DE COMPROBACION'!A15:A180,'BALANZA DE COMPROBACION'!B15:B80)</f>
        <v>Iva a pagar</v>
      </c>
      <c r="D42" s="130"/>
      <c r="E42" s="130"/>
      <c r="F42" s="130"/>
      <c r="G42" s="130"/>
      <c r="H42" s="130"/>
      <c r="I42" s="130"/>
      <c r="J42" s="130"/>
      <c r="K42" s="192">
        <f>+'ESQUEMAS DE MAYOR'!C55</f>
        <v>3110.0689655172423</v>
      </c>
      <c r="L42" s="130"/>
      <c r="M42" s="192">
        <f t="shared" si="0"/>
        <v>3110.0689655172423</v>
      </c>
      <c r="N42" s="130"/>
      <c r="O42" s="130"/>
      <c r="P42" s="130"/>
      <c r="Q42" s="192">
        <f t="shared" si="1"/>
        <v>3110.0689655172423</v>
      </c>
      <c r="R42" s="144">
        <v>34</v>
      </c>
    </row>
    <row r="43" spans="1:18" x14ac:dyDescent="0.25">
      <c r="A43" s="143">
        <v>35</v>
      </c>
      <c r="B43" s="130"/>
      <c r="C43" s="131" t="s">
        <v>303</v>
      </c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91">
        <f>+'ESQUEMAS DE MAYOR'!K54</f>
        <v>37316.039408867</v>
      </c>
      <c r="P43" s="130"/>
      <c r="Q43" s="191">
        <f>+O43</f>
        <v>37316.039408867</v>
      </c>
      <c r="R43" s="144">
        <v>35</v>
      </c>
    </row>
    <row r="44" spans="1:18" x14ac:dyDescent="0.25">
      <c r="A44" s="143">
        <v>36</v>
      </c>
      <c r="B44" s="130"/>
      <c r="C44" s="131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44">
        <v>36</v>
      </c>
    </row>
    <row r="45" spans="1:18" x14ac:dyDescent="0.25">
      <c r="A45" s="143">
        <v>37</v>
      </c>
      <c r="B45" s="130"/>
      <c r="C45" s="131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44">
        <v>37</v>
      </c>
    </row>
    <row r="46" spans="1:18" x14ac:dyDescent="0.25">
      <c r="A46" s="143">
        <v>38</v>
      </c>
      <c r="B46" s="130"/>
      <c r="C46" s="196" t="s">
        <v>130</v>
      </c>
      <c r="D46" s="197"/>
      <c r="E46" s="198">
        <f>SUM(E9:E45)</f>
        <v>858876.76610837434</v>
      </c>
      <c r="F46" s="198">
        <f t="shared" ref="F46:K46" si="2">SUM(F9:F45)</f>
        <v>858876.76610837434</v>
      </c>
      <c r="G46" s="198">
        <f t="shared" si="2"/>
        <v>779873.76</v>
      </c>
      <c r="H46" s="198">
        <f t="shared" si="2"/>
        <v>779873.76</v>
      </c>
      <c r="I46" s="198"/>
      <c r="J46" s="198">
        <f t="shared" si="2"/>
        <v>288459.50896551728</v>
      </c>
      <c r="K46" s="198">
        <f t="shared" si="2"/>
        <v>288459.50896551722</v>
      </c>
      <c r="L46" s="198">
        <f>SUM(L9:L45)</f>
        <v>1036567.1034482758</v>
      </c>
      <c r="M46" s="198">
        <f>SUM(M9:M45)</f>
        <v>1036567.1034482758</v>
      </c>
      <c r="N46" s="198">
        <f>SUM(N9:N45)</f>
        <v>67736</v>
      </c>
      <c r="O46" s="198">
        <f>SUM(O9:O45)</f>
        <v>67736</v>
      </c>
      <c r="P46" s="198">
        <f t="shared" ref="P46:Q46" si="3">SUM(P9:P45)</f>
        <v>1006147.1428571428</v>
      </c>
      <c r="Q46" s="198">
        <f t="shared" si="3"/>
        <v>1006147.1428571428</v>
      </c>
      <c r="R46" s="144">
        <v>38</v>
      </c>
    </row>
    <row r="47" spans="1:18" x14ac:dyDescent="0.25">
      <c r="A47" s="143">
        <v>39</v>
      </c>
      <c r="B47" s="130"/>
      <c r="C47" s="131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44">
        <v>39</v>
      </c>
    </row>
    <row r="48" spans="1:18" x14ac:dyDescent="0.25">
      <c r="A48" s="143">
        <v>40</v>
      </c>
      <c r="B48" s="130"/>
      <c r="C48" s="131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44">
        <v>40</v>
      </c>
    </row>
    <row r="49" spans="1:18" x14ac:dyDescent="0.25">
      <c r="A49" s="143">
        <v>41</v>
      </c>
      <c r="B49" s="130"/>
      <c r="C49" s="131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44">
        <v>41</v>
      </c>
    </row>
    <row r="50" spans="1:18" x14ac:dyDescent="0.25">
      <c r="A50" s="143">
        <v>42</v>
      </c>
      <c r="B50" s="130"/>
      <c r="C50" s="131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44">
        <v>42</v>
      </c>
    </row>
    <row r="51" spans="1:18" x14ac:dyDescent="0.25">
      <c r="A51" s="143">
        <v>43</v>
      </c>
      <c r="B51" s="130"/>
      <c r="C51" s="131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44">
        <v>43</v>
      </c>
    </row>
    <row r="52" spans="1:18" x14ac:dyDescent="0.25">
      <c r="A52" s="143">
        <v>44</v>
      </c>
      <c r="B52" s="130"/>
      <c r="C52" s="131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44">
        <v>44</v>
      </c>
    </row>
    <row r="53" spans="1:18" x14ac:dyDescent="0.25">
      <c r="A53" s="143">
        <v>45</v>
      </c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44">
        <v>45</v>
      </c>
    </row>
  </sheetData>
  <mergeCells count="18">
    <mergeCell ref="B1:N1"/>
    <mergeCell ref="B2:N2"/>
    <mergeCell ref="B3:N3"/>
    <mergeCell ref="O1:Q1"/>
    <mergeCell ref="E6:H6"/>
    <mergeCell ref="B6:B8"/>
    <mergeCell ref="C6:C8"/>
    <mergeCell ref="D6:D8"/>
    <mergeCell ref="I6:I8"/>
    <mergeCell ref="O3:Q3"/>
    <mergeCell ref="O2:P2"/>
    <mergeCell ref="J6:K7"/>
    <mergeCell ref="L6:M7"/>
    <mergeCell ref="N6:O7"/>
    <mergeCell ref="P6:Q7"/>
    <mergeCell ref="B4:Q4"/>
    <mergeCell ref="E7:F7"/>
    <mergeCell ref="G7:H7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'CATALOGO DE CUENTAS'!$A$7:$A$66</xm:f>
          </x14:formula1>
          <xm:sqref>B10:B31</xm:sqref>
        </x14:dataValidation>
        <x14:dataValidation type="list" allowBlank="1" showInputMessage="1" showErrorMessage="1">
          <x14:formula1>
            <xm:f>'BALANZA DE COMPROBACION'!$A$10:$A$75</xm:f>
          </x14:formula1>
          <xm:sqref>B9 B32:B43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I1" workbookViewId="0">
      <selection activeCell="R20" sqref="R20"/>
    </sheetView>
  </sheetViews>
  <sheetFormatPr baseColWidth="10" defaultRowHeight="15" x14ac:dyDescent="0.25"/>
  <cols>
    <col min="13" max="13" width="16.42578125" bestFit="1" customWidth="1"/>
    <col min="14" max="14" width="16.5703125" bestFit="1" customWidth="1"/>
    <col min="15" max="15" width="18.28515625" bestFit="1" customWidth="1"/>
    <col min="17" max="17" width="27.28515625" bestFit="1" customWidth="1"/>
  </cols>
  <sheetData>
    <row r="1" spans="1:20" ht="18.75" x14ac:dyDescent="0.3">
      <c r="A1" s="33" t="s">
        <v>2</v>
      </c>
    </row>
    <row r="2" spans="1:20" ht="18.75" x14ac:dyDescent="0.3">
      <c r="A2" s="33" t="s">
        <v>4</v>
      </c>
    </row>
    <row r="3" spans="1:20" ht="18.75" x14ac:dyDescent="0.3">
      <c r="A3" s="33" t="s">
        <v>5</v>
      </c>
      <c r="Q3" s="28"/>
      <c r="R3" s="28"/>
      <c r="S3" s="28"/>
      <c r="T3" s="28"/>
    </row>
    <row r="4" spans="1:20" ht="18.75" x14ac:dyDescent="0.3">
      <c r="A4" s="33" t="s">
        <v>6</v>
      </c>
      <c r="Q4" s="28"/>
      <c r="R4" s="28"/>
      <c r="S4" s="28"/>
      <c r="T4" s="28"/>
    </row>
    <row r="5" spans="1:20" ht="15.75" x14ac:dyDescent="0.25">
      <c r="A5" s="118" t="s">
        <v>208</v>
      </c>
      <c r="Q5" s="124" t="s">
        <v>207</v>
      </c>
      <c r="R5" s="124"/>
      <c r="S5" s="124"/>
      <c r="T5" s="124"/>
    </row>
    <row r="6" spans="1:20" ht="16.5" thickBot="1" x14ac:dyDescent="0.3">
      <c r="A6" s="118"/>
      <c r="Q6" s="125"/>
      <c r="R6" s="125" t="s">
        <v>183</v>
      </c>
      <c r="S6" s="125" t="s">
        <v>190</v>
      </c>
      <c r="T6" s="125" t="s">
        <v>191</v>
      </c>
    </row>
    <row r="7" spans="1:20" x14ac:dyDescent="0.25">
      <c r="D7" s="258" t="s">
        <v>186</v>
      </c>
      <c r="E7" s="259"/>
      <c r="I7" s="258" t="s">
        <v>65</v>
      </c>
      <c r="J7" s="259"/>
      <c r="O7" s="260" t="s">
        <v>189</v>
      </c>
      <c r="Q7" s="124" t="s">
        <v>196</v>
      </c>
      <c r="R7" s="201">
        <f>+K9</f>
        <v>40136</v>
      </c>
      <c r="S7" s="124"/>
      <c r="T7" s="124"/>
    </row>
    <row r="8" spans="1:20" ht="15.75" x14ac:dyDescent="0.25">
      <c r="A8" s="118"/>
      <c r="B8" s="111" t="s">
        <v>181</v>
      </c>
      <c r="C8" s="111" t="s">
        <v>182</v>
      </c>
      <c r="D8" s="111" t="s">
        <v>184</v>
      </c>
      <c r="E8" s="111" t="s">
        <v>185</v>
      </c>
      <c r="F8" s="111" t="s">
        <v>35</v>
      </c>
      <c r="H8" s="111" t="s">
        <v>187</v>
      </c>
      <c r="I8" s="111" t="s">
        <v>188</v>
      </c>
      <c r="J8" s="111" t="s">
        <v>185</v>
      </c>
      <c r="K8" s="111" t="s">
        <v>35</v>
      </c>
      <c r="M8" s="205" t="s">
        <v>71</v>
      </c>
      <c r="N8" s="205" t="s">
        <v>85</v>
      </c>
      <c r="O8" s="261"/>
      <c r="Q8" s="125" t="s">
        <v>197</v>
      </c>
      <c r="R8" s="202">
        <f>+R7</f>
        <v>40136</v>
      </c>
      <c r="S8" s="125"/>
      <c r="T8" s="125"/>
    </row>
    <row r="9" spans="1:20" ht="15.75" x14ac:dyDescent="0.25">
      <c r="A9" s="118" t="s">
        <v>183</v>
      </c>
      <c r="B9" s="200">
        <f>+'BALANZA DE COMPROBACION'!E17</f>
        <v>20250</v>
      </c>
      <c r="C9" s="176">
        <f>+'HOJA DE TRABAJO'!L33+'HOJA DE TRABAJO'!L34</f>
        <v>15741.103448275862</v>
      </c>
      <c r="D9" s="176"/>
      <c r="E9" s="176"/>
      <c r="F9" s="153">
        <f>+B9+C9+D9-E9</f>
        <v>35991.103448275862</v>
      </c>
      <c r="G9" s="148"/>
      <c r="H9" s="200">
        <f>+'HOJA DE TRABAJO'!H31</f>
        <v>52736</v>
      </c>
      <c r="I9" s="176"/>
      <c r="J9" s="176">
        <f>+'HOJA DE TRABAJO'!G11</f>
        <v>12600</v>
      </c>
      <c r="K9" s="153">
        <f>+H9+I9-J9</f>
        <v>40136</v>
      </c>
      <c r="L9" s="148"/>
      <c r="M9" s="200">
        <f>+F9*0.16</f>
        <v>5758.576551724138</v>
      </c>
      <c r="N9" s="176">
        <f>+K9*0.16</f>
        <v>6421.76</v>
      </c>
      <c r="O9" s="153">
        <f>+N9-M9</f>
        <v>663.18344827586225</v>
      </c>
      <c r="Q9" s="124" t="s">
        <v>198</v>
      </c>
      <c r="R9" s="201">
        <f>+F9</f>
        <v>35991.103448275862</v>
      </c>
      <c r="S9" s="124"/>
      <c r="T9" s="124"/>
    </row>
    <row r="10" spans="1:20" x14ac:dyDescent="0.25">
      <c r="A10" t="s">
        <v>190</v>
      </c>
      <c r="B10" s="203"/>
      <c r="C10" s="181"/>
      <c r="D10" s="181"/>
      <c r="E10" s="181"/>
      <c r="F10" s="157">
        <f>+F9+D10-E10</f>
        <v>35991.103448275862</v>
      </c>
      <c r="G10" s="148"/>
      <c r="H10" s="203"/>
      <c r="I10" s="181"/>
      <c r="J10" s="181"/>
      <c r="K10" s="157">
        <f>+K9+I10-J10</f>
        <v>40136</v>
      </c>
      <c r="L10" s="148"/>
      <c r="M10" s="203"/>
      <c r="N10" s="181"/>
      <c r="O10" s="157">
        <f t="shared" ref="O10:O15" si="0">+N10-M10</f>
        <v>0</v>
      </c>
      <c r="Q10" s="125" t="s">
        <v>199</v>
      </c>
      <c r="R10" s="202">
        <f>+R9</f>
        <v>35991.103448275862</v>
      </c>
      <c r="S10" s="125"/>
      <c r="T10" s="125"/>
    </row>
    <row r="11" spans="1:20" x14ac:dyDescent="0.25">
      <c r="A11" t="s">
        <v>191</v>
      </c>
      <c r="B11" s="203"/>
      <c r="C11" s="181"/>
      <c r="D11" s="181"/>
      <c r="E11" s="181"/>
      <c r="F11" s="157">
        <f t="shared" ref="F11:F15" si="1">+F10+D11-E11</f>
        <v>35991.103448275862</v>
      </c>
      <c r="G11" s="148"/>
      <c r="H11" s="203"/>
      <c r="I11" s="181"/>
      <c r="J11" s="181"/>
      <c r="K11" s="157">
        <f t="shared" ref="K11:K15" si="2">+K10+I11-J11</f>
        <v>40136</v>
      </c>
      <c r="L11" s="148"/>
      <c r="M11" s="203"/>
      <c r="N11" s="181"/>
      <c r="O11" s="157">
        <f t="shared" si="0"/>
        <v>0</v>
      </c>
      <c r="Q11" s="124" t="s">
        <v>200</v>
      </c>
      <c r="R11" s="201">
        <f>+R8-R10</f>
        <v>4144.8965517241377</v>
      </c>
      <c r="S11" s="124"/>
      <c r="T11" s="124"/>
    </row>
    <row r="12" spans="1:20" x14ac:dyDescent="0.25">
      <c r="A12" t="s">
        <v>192</v>
      </c>
      <c r="B12" s="203"/>
      <c r="C12" s="181"/>
      <c r="D12" s="181"/>
      <c r="E12" s="181"/>
      <c r="F12" s="157">
        <f t="shared" si="1"/>
        <v>35991.103448275862</v>
      </c>
      <c r="G12" s="148"/>
      <c r="H12" s="203"/>
      <c r="I12" s="181"/>
      <c r="J12" s="181"/>
      <c r="K12" s="157">
        <f t="shared" si="2"/>
        <v>40136</v>
      </c>
      <c r="L12" s="148"/>
      <c r="M12" s="203"/>
      <c r="N12" s="181"/>
      <c r="O12" s="157">
        <f t="shared" si="0"/>
        <v>0</v>
      </c>
      <c r="Q12" s="125" t="s">
        <v>201</v>
      </c>
      <c r="R12" s="202"/>
      <c r="S12" s="125"/>
      <c r="T12" s="125"/>
    </row>
    <row r="13" spans="1:20" x14ac:dyDescent="0.25">
      <c r="A13" t="s">
        <v>193</v>
      </c>
      <c r="B13" s="203"/>
      <c r="C13" s="181"/>
      <c r="D13" s="181"/>
      <c r="E13" s="181"/>
      <c r="F13" s="157">
        <f t="shared" si="1"/>
        <v>35991.103448275862</v>
      </c>
      <c r="G13" s="148"/>
      <c r="H13" s="203"/>
      <c r="I13" s="181"/>
      <c r="J13" s="181"/>
      <c r="K13" s="157">
        <f t="shared" si="2"/>
        <v>40136</v>
      </c>
      <c r="L13" s="148"/>
      <c r="M13" s="203"/>
      <c r="N13" s="181"/>
      <c r="O13" s="157">
        <f t="shared" si="0"/>
        <v>0</v>
      </c>
      <c r="Q13" s="124" t="s">
        <v>202</v>
      </c>
      <c r="R13" s="201">
        <f>+R11-R12</f>
        <v>4144.8965517241377</v>
      </c>
      <c r="S13" s="124"/>
      <c r="T13" s="124"/>
    </row>
    <row r="14" spans="1:20" x14ac:dyDescent="0.25">
      <c r="A14" t="s">
        <v>194</v>
      </c>
      <c r="B14" s="203"/>
      <c r="C14" s="181"/>
      <c r="D14" s="181"/>
      <c r="E14" s="181"/>
      <c r="F14" s="157">
        <f t="shared" si="1"/>
        <v>35991.103448275862</v>
      </c>
      <c r="G14" s="148"/>
      <c r="H14" s="203"/>
      <c r="I14" s="181"/>
      <c r="J14" s="181"/>
      <c r="K14" s="157">
        <f t="shared" si="2"/>
        <v>40136</v>
      </c>
      <c r="L14" s="148"/>
      <c r="M14" s="203"/>
      <c r="N14" s="181"/>
      <c r="O14" s="157">
        <f t="shared" si="0"/>
        <v>0</v>
      </c>
      <c r="Q14" s="125" t="s">
        <v>112</v>
      </c>
      <c r="R14" s="202"/>
      <c r="S14" s="125"/>
      <c r="T14" s="125"/>
    </row>
    <row r="15" spans="1:20" x14ac:dyDescent="0.25">
      <c r="A15" t="s">
        <v>195</v>
      </c>
      <c r="B15" s="204"/>
      <c r="C15" s="174"/>
      <c r="D15" s="174"/>
      <c r="E15" s="174"/>
      <c r="F15" s="178">
        <f t="shared" si="1"/>
        <v>35991.103448275862</v>
      </c>
      <c r="G15" s="148"/>
      <c r="H15" s="204"/>
      <c r="I15" s="174"/>
      <c r="J15" s="174"/>
      <c r="K15" s="178">
        <f t="shared" si="2"/>
        <v>40136</v>
      </c>
      <c r="L15" s="148"/>
      <c r="M15" s="204"/>
      <c r="N15" s="174"/>
      <c r="O15" s="178">
        <f t="shared" si="0"/>
        <v>0</v>
      </c>
      <c r="Q15" s="124" t="s">
        <v>203</v>
      </c>
      <c r="R15" s="201"/>
      <c r="S15" s="124"/>
      <c r="T15" s="124"/>
    </row>
    <row r="16" spans="1:20" x14ac:dyDescent="0.25">
      <c r="A16" t="s">
        <v>35</v>
      </c>
      <c r="B16" s="148">
        <f>SUM(B9:B15)</f>
        <v>20250</v>
      </c>
      <c r="C16" s="148">
        <f t="shared" ref="C16:F16" si="3">SUM(C9:C15)</f>
        <v>15741.103448275862</v>
      </c>
      <c r="D16" s="148">
        <f t="shared" si="3"/>
        <v>0</v>
      </c>
      <c r="E16" s="148">
        <f t="shared" si="3"/>
        <v>0</v>
      </c>
      <c r="F16" s="148">
        <f t="shared" si="3"/>
        <v>251937.72413793101</v>
      </c>
      <c r="G16" s="148"/>
      <c r="H16" s="148">
        <f>SUM(H9:H15)</f>
        <v>52736</v>
      </c>
      <c r="I16" s="148">
        <f t="shared" ref="I16:K16" si="4">SUM(I9:I15)</f>
        <v>0</v>
      </c>
      <c r="J16" s="148">
        <f t="shared" si="4"/>
        <v>12600</v>
      </c>
      <c r="K16" s="148">
        <f t="shared" si="4"/>
        <v>280952</v>
      </c>
      <c r="L16" s="148"/>
      <c r="M16" s="148">
        <f>SUM(M9:M15)</f>
        <v>5758.576551724138</v>
      </c>
      <c r="N16" s="148">
        <f t="shared" ref="N16:O16" si="5">SUM(N9:N15)</f>
        <v>6421.76</v>
      </c>
      <c r="O16" s="148">
        <f t="shared" si="5"/>
        <v>663.18344827586225</v>
      </c>
      <c r="Q16" s="125" t="s">
        <v>123</v>
      </c>
      <c r="R16" s="202"/>
      <c r="S16" s="125"/>
      <c r="T16" s="125"/>
    </row>
    <row r="17" spans="17:20" x14ac:dyDescent="0.25">
      <c r="Q17" s="124" t="s">
        <v>204</v>
      </c>
      <c r="R17" s="201"/>
      <c r="S17" s="124"/>
      <c r="T17" s="124"/>
    </row>
    <row r="18" spans="17:20" x14ac:dyDescent="0.25">
      <c r="Q18" s="125" t="s">
        <v>205</v>
      </c>
      <c r="R18" s="202"/>
      <c r="S18" s="125"/>
      <c r="T18" s="125"/>
    </row>
    <row r="19" spans="17:20" x14ac:dyDescent="0.25">
      <c r="Q19" s="124" t="s">
        <v>206</v>
      </c>
      <c r="R19" s="201"/>
      <c r="S19" s="124"/>
      <c r="T19" s="124"/>
    </row>
    <row r="20" spans="17:20" x14ac:dyDescent="0.25">
      <c r="Q20" s="125" t="s">
        <v>35</v>
      </c>
      <c r="R20" s="202"/>
      <c r="S20" s="125"/>
      <c r="T20" s="125"/>
    </row>
  </sheetData>
  <mergeCells count="3">
    <mergeCell ref="D7:E7"/>
    <mergeCell ref="I7:J7"/>
    <mergeCell ref="O7:O8"/>
  </mergeCells>
  <pageMargins left="0.7" right="0.7" top="0.75" bottom="0.75" header="0.3" footer="0.3"/>
  <ignoredErrors>
    <ignoredError sqref="R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workbookViewId="0">
      <selection activeCell="B12" sqref="B12"/>
    </sheetView>
  </sheetViews>
  <sheetFormatPr baseColWidth="10" defaultRowHeight="15" x14ac:dyDescent="0.25"/>
  <cols>
    <col min="1" max="1" width="14.85546875" customWidth="1"/>
    <col min="2" max="2" width="17.28515625" bestFit="1" customWidth="1"/>
    <col min="3" max="3" width="15.85546875" bestFit="1" customWidth="1"/>
    <col min="4" max="4" width="15.28515625" bestFit="1" customWidth="1"/>
    <col min="5" max="5" width="15.85546875" customWidth="1"/>
    <col min="6" max="6" width="19.7109375" style="2" bestFit="1" customWidth="1"/>
    <col min="7" max="7" width="12.7109375" bestFit="1" customWidth="1"/>
    <col min="8" max="8" width="13.85546875" bestFit="1" customWidth="1"/>
    <col min="9" max="9" width="16.42578125" style="2" bestFit="1" customWidth="1"/>
    <col min="10" max="10" width="9.5703125" bestFit="1" customWidth="1"/>
    <col min="11" max="11" width="8" style="2" bestFit="1" customWidth="1"/>
    <col min="13" max="15" width="11.42578125" style="2"/>
    <col min="16" max="16" width="19" bestFit="1" customWidth="1"/>
  </cols>
  <sheetData>
    <row r="1" spans="1:16" ht="18.75" x14ac:dyDescent="0.3">
      <c r="A1" s="33" t="s">
        <v>2</v>
      </c>
    </row>
    <row r="2" spans="1:16" ht="18.75" x14ac:dyDescent="0.3">
      <c r="A2" s="33" t="s">
        <v>4</v>
      </c>
    </row>
    <row r="3" spans="1:16" ht="18.75" x14ac:dyDescent="0.3">
      <c r="A3" s="33" t="s">
        <v>5</v>
      </c>
    </row>
    <row r="4" spans="1:16" ht="18.75" x14ac:dyDescent="0.3">
      <c r="A4" s="33" t="s">
        <v>6</v>
      </c>
    </row>
    <row r="6" spans="1:16" x14ac:dyDescent="0.25">
      <c r="A6" s="5" t="s">
        <v>7</v>
      </c>
      <c r="B6" s="5"/>
      <c r="C6" s="5"/>
      <c r="D6" s="5"/>
    </row>
    <row r="7" spans="1:16" x14ac:dyDescent="0.25">
      <c r="A7" s="5" t="s">
        <v>8</v>
      </c>
      <c r="B7" s="5"/>
      <c r="C7" s="5"/>
      <c r="D7" s="5"/>
    </row>
    <row r="8" spans="1:16" ht="15.75" thickBot="1" x14ac:dyDescent="0.3"/>
    <row r="9" spans="1:16" ht="15.75" thickBot="1" x14ac:dyDescent="0.3">
      <c r="I9" s="207" t="s">
        <v>39</v>
      </c>
      <c r="J9" s="208"/>
      <c r="L9" s="207" t="s">
        <v>38</v>
      </c>
      <c r="M9" s="208"/>
    </row>
    <row r="10" spans="1:16" x14ac:dyDescent="0.25">
      <c r="A10" s="7" t="s">
        <v>16</v>
      </c>
      <c r="B10" s="8" t="s">
        <v>17</v>
      </c>
      <c r="C10" s="9" t="s">
        <v>19</v>
      </c>
      <c r="D10" s="10" t="s">
        <v>20</v>
      </c>
      <c r="E10" s="9" t="s">
        <v>22</v>
      </c>
      <c r="F10" s="11" t="s">
        <v>27</v>
      </c>
      <c r="G10" s="9" t="s">
        <v>29</v>
      </c>
      <c r="H10" s="9" t="s">
        <v>28</v>
      </c>
      <c r="I10" s="11" t="s">
        <v>30</v>
      </c>
      <c r="J10" s="9" t="s">
        <v>31</v>
      </c>
      <c r="K10" s="11" t="s">
        <v>32</v>
      </c>
      <c r="L10" s="9" t="s">
        <v>34</v>
      </c>
      <c r="M10" s="11" t="s">
        <v>33</v>
      </c>
      <c r="N10" s="11" t="s">
        <v>35</v>
      </c>
      <c r="O10" s="11" t="s">
        <v>36</v>
      </c>
      <c r="P10" s="12" t="s">
        <v>37</v>
      </c>
    </row>
    <row r="11" spans="1:16" ht="21.75" customHeight="1" x14ac:dyDescent="0.25">
      <c r="A11" s="13" t="s">
        <v>9</v>
      </c>
      <c r="B11" s="14" t="s">
        <v>18</v>
      </c>
      <c r="C11" s="15">
        <v>41426</v>
      </c>
      <c r="D11" s="16" t="s">
        <v>133</v>
      </c>
      <c r="E11" s="17" t="s">
        <v>23</v>
      </c>
      <c r="F11" s="18">
        <f>+G11*1.0452</f>
        <v>66.547883999999996</v>
      </c>
      <c r="G11" s="17">
        <v>63.67</v>
      </c>
      <c r="H11" s="17">
        <v>32</v>
      </c>
      <c r="I11" s="18">
        <f>+G11*H11</f>
        <v>2037.44</v>
      </c>
      <c r="J11" s="18">
        <f>+F51</f>
        <v>81.321679999999972</v>
      </c>
      <c r="K11" s="18">
        <f>+I11+J11</f>
        <v>2118.7616800000001</v>
      </c>
      <c r="L11" s="17"/>
      <c r="M11" s="18">
        <f>+(F11*15)*0.02375</f>
        <v>23.707683674999998</v>
      </c>
      <c r="N11" s="18">
        <f>SUM(L11:M11)</f>
        <v>23.707683674999998</v>
      </c>
      <c r="O11" s="18">
        <f>+K11-N11</f>
        <v>2095.0539963250003</v>
      </c>
      <c r="P11" s="19"/>
    </row>
    <row r="12" spans="1:16" ht="21.75" customHeight="1" x14ac:dyDescent="0.25">
      <c r="A12" s="13" t="s">
        <v>10</v>
      </c>
      <c r="B12" s="14" t="s">
        <v>13</v>
      </c>
      <c r="C12" s="20">
        <v>41426</v>
      </c>
      <c r="D12" s="17" t="s">
        <v>21</v>
      </c>
      <c r="E12" s="17" t="s">
        <v>24</v>
      </c>
      <c r="F12" s="18">
        <f t="shared" ref="F12:F14" si="0">+G12*1.0452</f>
        <v>73.163999999999987</v>
      </c>
      <c r="G12" s="17">
        <v>70</v>
      </c>
      <c r="H12" s="17">
        <v>15</v>
      </c>
      <c r="I12" s="18">
        <f t="shared" ref="I12:I14" si="1">+G12*H12</f>
        <v>1050</v>
      </c>
      <c r="J12" s="31">
        <f>+G51</f>
        <v>144.51783999999998</v>
      </c>
      <c r="K12" s="18">
        <f t="shared" ref="K12:K14" si="2">+I12+J12</f>
        <v>1194.51784</v>
      </c>
      <c r="L12" s="17"/>
      <c r="M12" s="18">
        <f t="shared" ref="M12:M14" si="3">+(F12*15)*0.02375</f>
        <v>26.064674999999994</v>
      </c>
      <c r="N12" s="18">
        <f t="shared" ref="N12:N14" si="4">SUM(L12:M12)</f>
        <v>26.064674999999994</v>
      </c>
      <c r="O12" s="18">
        <f t="shared" ref="O12:O14" si="5">+K12-N12</f>
        <v>1168.4531649999999</v>
      </c>
      <c r="P12" s="19"/>
    </row>
    <row r="13" spans="1:16" ht="21.75" customHeight="1" x14ac:dyDescent="0.25">
      <c r="A13" s="13" t="s">
        <v>11</v>
      </c>
      <c r="B13" s="14" t="s">
        <v>14</v>
      </c>
      <c r="C13" s="20">
        <v>41426</v>
      </c>
      <c r="D13" s="17" t="s">
        <v>132</v>
      </c>
      <c r="E13" s="17" t="s">
        <v>25</v>
      </c>
      <c r="F13" s="18">
        <f t="shared" si="0"/>
        <v>66.652404000000004</v>
      </c>
      <c r="G13" s="17">
        <v>63.77</v>
      </c>
      <c r="H13" s="17">
        <v>15</v>
      </c>
      <c r="I13" s="18">
        <f t="shared" si="1"/>
        <v>956.55000000000007</v>
      </c>
      <c r="J13" s="18">
        <f>+J11</f>
        <v>81.321679999999972</v>
      </c>
      <c r="K13" s="18">
        <f t="shared" si="2"/>
        <v>1037.87168</v>
      </c>
      <c r="L13" s="17"/>
      <c r="M13" s="18">
        <f t="shared" si="3"/>
        <v>23.744918925</v>
      </c>
      <c r="N13" s="18">
        <f t="shared" si="4"/>
        <v>23.744918925</v>
      </c>
      <c r="O13" s="18">
        <f t="shared" si="5"/>
        <v>1014.126761075</v>
      </c>
      <c r="P13" s="19"/>
    </row>
    <row r="14" spans="1:16" ht="21.75" customHeight="1" thickBot="1" x14ac:dyDescent="0.3">
      <c r="A14" s="21" t="s">
        <v>12</v>
      </c>
      <c r="B14" s="22" t="s">
        <v>15</v>
      </c>
      <c r="C14" s="23">
        <v>41426</v>
      </c>
      <c r="D14" s="24" t="s">
        <v>131</v>
      </c>
      <c r="E14" s="24" t="s">
        <v>26</v>
      </c>
      <c r="F14" s="25">
        <f t="shared" si="0"/>
        <v>66.652404000000004</v>
      </c>
      <c r="G14" s="24">
        <v>63.77</v>
      </c>
      <c r="H14" s="24">
        <v>15</v>
      </c>
      <c r="I14" s="25">
        <f t="shared" si="1"/>
        <v>956.55000000000007</v>
      </c>
      <c r="J14" s="25">
        <f>+J13</f>
        <v>81.321679999999972</v>
      </c>
      <c r="K14" s="25">
        <f t="shared" si="2"/>
        <v>1037.87168</v>
      </c>
      <c r="L14" s="24"/>
      <c r="M14" s="25">
        <f t="shared" si="3"/>
        <v>23.744918925</v>
      </c>
      <c r="N14" s="25">
        <f t="shared" si="4"/>
        <v>23.744918925</v>
      </c>
      <c r="O14" s="25">
        <f t="shared" si="5"/>
        <v>1014.126761075</v>
      </c>
      <c r="P14" s="26"/>
    </row>
    <row r="15" spans="1:16" x14ac:dyDescent="0.25">
      <c r="I15" s="6">
        <f>SUM(I11:I14)</f>
        <v>5000.54</v>
      </c>
      <c r="J15" s="3"/>
      <c r="K15" s="6">
        <f>SUM(K11:K14)</f>
        <v>5389.0228800000004</v>
      </c>
      <c r="N15" s="6">
        <f>SUM(N11:N14)</f>
        <v>97.262196525000007</v>
      </c>
      <c r="O15" s="6">
        <f>SUM(O11:O14)</f>
        <v>5291.7606834750004</v>
      </c>
    </row>
    <row r="18" spans="1:16" x14ac:dyDescent="0.25">
      <c r="A18" s="5" t="s">
        <v>7</v>
      </c>
      <c r="B18" s="5"/>
      <c r="C18" s="5"/>
      <c r="D18" s="5"/>
    </row>
    <row r="19" spans="1:16" x14ac:dyDescent="0.25">
      <c r="A19" s="5" t="s">
        <v>40</v>
      </c>
      <c r="B19" s="5"/>
      <c r="C19" s="5"/>
      <c r="D19" s="5"/>
    </row>
    <row r="20" spans="1:16" ht="15.75" thickBot="1" x14ac:dyDescent="0.3"/>
    <row r="21" spans="1:16" ht="15.75" thickBot="1" x14ac:dyDescent="0.3">
      <c r="I21" s="207" t="s">
        <v>39</v>
      </c>
      <c r="J21" s="208"/>
      <c r="L21" s="207" t="s">
        <v>38</v>
      </c>
      <c r="M21" s="208"/>
    </row>
    <row r="22" spans="1:16" x14ac:dyDescent="0.25">
      <c r="A22" s="7" t="s">
        <v>16</v>
      </c>
      <c r="B22" s="8" t="s">
        <v>17</v>
      </c>
      <c r="C22" s="9" t="s">
        <v>19</v>
      </c>
      <c r="D22" s="10" t="s">
        <v>20</v>
      </c>
      <c r="E22" s="9" t="s">
        <v>22</v>
      </c>
      <c r="F22" s="11" t="s">
        <v>27</v>
      </c>
      <c r="G22" s="9" t="s">
        <v>29</v>
      </c>
      <c r="H22" s="9" t="s">
        <v>28</v>
      </c>
      <c r="I22" s="11" t="s">
        <v>30</v>
      </c>
      <c r="J22" s="9" t="s">
        <v>31</v>
      </c>
      <c r="K22" s="11" t="s">
        <v>32</v>
      </c>
      <c r="L22" s="9" t="s">
        <v>34</v>
      </c>
      <c r="M22" s="11" t="s">
        <v>33</v>
      </c>
      <c r="N22" s="11" t="s">
        <v>35</v>
      </c>
      <c r="O22" s="11" t="s">
        <v>36</v>
      </c>
      <c r="P22" s="12" t="s">
        <v>37</v>
      </c>
    </row>
    <row r="23" spans="1:16" ht="21.75" customHeight="1" x14ac:dyDescent="0.25">
      <c r="A23" s="13" t="s">
        <v>48</v>
      </c>
      <c r="B23" s="14" t="s">
        <v>41</v>
      </c>
      <c r="C23" s="15">
        <v>41426</v>
      </c>
      <c r="D23" s="16" t="s">
        <v>44</v>
      </c>
      <c r="E23" s="17" t="s">
        <v>23</v>
      </c>
      <c r="F23" s="18">
        <f>+G23*1.0452</f>
        <v>78.389999999999986</v>
      </c>
      <c r="G23" s="17">
        <v>75</v>
      </c>
      <c r="H23" s="17">
        <v>15</v>
      </c>
      <c r="I23" s="18">
        <f>+G23*H23</f>
        <v>1125</v>
      </c>
      <c r="J23" s="18">
        <f>+H51</f>
        <v>139.71784</v>
      </c>
      <c r="K23" s="18">
        <f>+I23+J23</f>
        <v>1264.71784</v>
      </c>
      <c r="L23" s="17"/>
      <c r="M23" s="18">
        <f>+(F23*15)*0.02375</f>
        <v>27.926437499999999</v>
      </c>
      <c r="N23" s="18">
        <f>SUM(L23:M23)</f>
        <v>27.926437499999999</v>
      </c>
      <c r="O23" s="18">
        <f>+K23-N23</f>
        <v>1236.7914025</v>
      </c>
      <c r="P23" s="19"/>
    </row>
    <row r="24" spans="1:16" ht="21.75" customHeight="1" x14ac:dyDescent="0.25">
      <c r="A24" s="13" t="s">
        <v>49</v>
      </c>
      <c r="B24" s="14" t="s">
        <v>42</v>
      </c>
      <c r="C24" s="20">
        <v>41426</v>
      </c>
      <c r="D24" s="17" t="s">
        <v>45</v>
      </c>
      <c r="E24" s="17" t="s">
        <v>24</v>
      </c>
      <c r="F24" s="18">
        <f t="shared" ref="F24:F26" si="6">+G24*1.0452</f>
        <v>78.389999999999986</v>
      </c>
      <c r="G24" s="17">
        <v>75</v>
      </c>
      <c r="H24" s="17">
        <v>15</v>
      </c>
      <c r="I24" s="18">
        <f t="shared" ref="I24:I26" si="7">+G24*H24</f>
        <v>1125</v>
      </c>
      <c r="J24" s="18">
        <f>+J23</f>
        <v>139.71784</v>
      </c>
      <c r="K24" s="18">
        <f t="shared" ref="K24:K26" si="8">+I24+J24</f>
        <v>1264.71784</v>
      </c>
      <c r="L24" s="17"/>
      <c r="M24" s="18">
        <f t="shared" ref="M24:M26" si="9">+(F24*15)*0.02375</f>
        <v>27.926437499999999</v>
      </c>
      <c r="N24" s="18">
        <f t="shared" ref="N24:N26" si="10">SUM(L24:M24)</f>
        <v>27.926437499999999</v>
      </c>
      <c r="O24" s="18">
        <f t="shared" ref="O24:O26" si="11">+K24-N24</f>
        <v>1236.7914025</v>
      </c>
      <c r="P24" s="19"/>
    </row>
    <row r="25" spans="1:16" ht="21.75" customHeight="1" x14ac:dyDescent="0.25">
      <c r="A25" s="13" t="s">
        <v>50</v>
      </c>
      <c r="B25" s="14" t="s">
        <v>43</v>
      </c>
      <c r="C25" s="20">
        <v>41426</v>
      </c>
      <c r="D25" s="17" t="s">
        <v>46</v>
      </c>
      <c r="E25" s="17" t="s">
        <v>25</v>
      </c>
      <c r="F25" s="18">
        <f t="shared" si="6"/>
        <v>78.389999999999986</v>
      </c>
      <c r="G25" s="17">
        <v>75</v>
      </c>
      <c r="H25" s="17">
        <v>15</v>
      </c>
      <c r="I25" s="18">
        <f t="shared" si="7"/>
        <v>1125</v>
      </c>
      <c r="J25" s="18">
        <f>+J24</f>
        <v>139.71784</v>
      </c>
      <c r="K25" s="18">
        <f t="shared" si="8"/>
        <v>1264.71784</v>
      </c>
      <c r="L25" s="17"/>
      <c r="M25" s="18">
        <f t="shared" si="9"/>
        <v>27.926437499999999</v>
      </c>
      <c r="N25" s="18">
        <f t="shared" si="10"/>
        <v>27.926437499999999</v>
      </c>
      <c r="O25" s="18">
        <f t="shared" si="11"/>
        <v>1236.7914025</v>
      </c>
      <c r="P25" s="19"/>
    </row>
    <row r="26" spans="1:16" ht="21.75" customHeight="1" thickBot="1" x14ac:dyDescent="0.3">
      <c r="A26" s="21" t="s">
        <v>51</v>
      </c>
      <c r="B26" s="22" t="s">
        <v>134</v>
      </c>
      <c r="C26" s="23">
        <v>41426</v>
      </c>
      <c r="D26" s="24" t="s">
        <v>47</v>
      </c>
      <c r="E26" s="24" t="s">
        <v>26</v>
      </c>
      <c r="F26" s="25">
        <f t="shared" si="6"/>
        <v>78.389999999999986</v>
      </c>
      <c r="G26" s="24">
        <v>75</v>
      </c>
      <c r="H26" s="24">
        <v>15</v>
      </c>
      <c r="I26" s="25">
        <f t="shared" si="7"/>
        <v>1125</v>
      </c>
      <c r="J26" s="25">
        <f>+J25</f>
        <v>139.71784</v>
      </c>
      <c r="K26" s="25">
        <f t="shared" si="8"/>
        <v>1264.71784</v>
      </c>
      <c r="L26" s="24"/>
      <c r="M26" s="25">
        <f t="shared" si="9"/>
        <v>27.926437499999999</v>
      </c>
      <c r="N26" s="25">
        <f t="shared" si="10"/>
        <v>27.926437499999999</v>
      </c>
      <c r="O26" s="25">
        <f t="shared" si="11"/>
        <v>1236.7914025</v>
      </c>
      <c r="P26" s="26"/>
    </row>
    <row r="27" spans="1:16" x14ac:dyDescent="0.25">
      <c r="I27" s="6">
        <f>SUM(I23:I26)</f>
        <v>4500</v>
      </c>
      <c r="J27" s="53">
        <f>SUM(J23:J26)</f>
        <v>558.87135999999998</v>
      </c>
      <c r="K27" s="6">
        <f>SUM(K23:K26)</f>
        <v>5058.8713600000001</v>
      </c>
      <c r="M27" s="2">
        <f>SUM(M23:M26)</f>
        <v>111.70574999999999</v>
      </c>
      <c r="N27" s="6">
        <f>SUM(N23:N26)</f>
        <v>111.70574999999999</v>
      </c>
      <c r="O27" s="6">
        <f>SUM(O23:O26)</f>
        <v>4947.16561</v>
      </c>
    </row>
    <row r="30" spans="1:16" x14ac:dyDescent="0.25">
      <c r="A30" s="206" t="s">
        <v>116</v>
      </c>
      <c r="B30" s="206"/>
      <c r="C30" s="206"/>
      <c r="D30" s="206"/>
    </row>
    <row r="32" spans="1:16" x14ac:dyDescent="0.25">
      <c r="A32" s="27" t="s">
        <v>112</v>
      </c>
      <c r="B32" s="27" t="s">
        <v>113</v>
      </c>
      <c r="C32" s="27" t="s">
        <v>114</v>
      </c>
      <c r="D32" s="27" t="s">
        <v>115</v>
      </c>
    </row>
    <row r="33" spans="1:8" x14ac:dyDescent="0.25">
      <c r="A33" s="2">
        <v>0.01</v>
      </c>
      <c r="B33" s="2">
        <v>244.8</v>
      </c>
      <c r="C33" s="2">
        <v>0</v>
      </c>
      <c r="D33" s="29">
        <v>1.9199999999999998E-2</v>
      </c>
    </row>
    <row r="34" spans="1:8" x14ac:dyDescent="0.25">
      <c r="A34" s="2">
        <v>244.81</v>
      </c>
      <c r="B34" s="2">
        <v>2077.5</v>
      </c>
      <c r="C34" s="2">
        <v>4.6500000000000004</v>
      </c>
      <c r="D34" s="29">
        <v>6.4000000000000001E-2</v>
      </c>
    </row>
    <row r="35" spans="1:8" x14ac:dyDescent="0.25">
      <c r="A35" s="2">
        <v>2077.5100000000002</v>
      </c>
      <c r="B35" s="2">
        <v>3651</v>
      </c>
      <c r="C35" s="2">
        <v>121.95</v>
      </c>
      <c r="D35" s="29">
        <v>0.10879999999999999</v>
      </c>
    </row>
    <row r="36" spans="1:8" x14ac:dyDescent="0.25">
      <c r="A36" s="2">
        <v>3651.01</v>
      </c>
      <c r="B36" s="2">
        <v>4244.1000000000004</v>
      </c>
      <c r="C36" s="2">
        <v>293.25</v>
      </c>
      <c r="D36" s="29">
        <v>0.16</v>
      </c>
    </row>
    <row r="37" spans="1:8" x14ac:dyDescent="0.25">
      <c r="A37" s="2">
        <v>4244.1099999999997</v>
      </c>
      <c r="B37" s="2">
        <v>5081.3999999999996</v>
      </c>
      <c r="C37" s="2">
        <v>388.05</v>
      </c>
      <c r="D37" s="29">
        <v>0.1792</v>
      </c>
    </row>
    <row r="38" spans="1:8" x14ac:dyDescent="0.25">
      <c r="A38" s="2">
        <v>5081.41</v>
      </c>
      <c r="B38" s="2">
        <v>10248.450000000001</v>
      </c>
      <c r="C38" s="2">
        <v>538.20000000000005</v>
      </c>
      <c r="D38" s="29">
        <v>0.21360000000000001</v>
      </c>
    </row>
    <row r="39" spans="1:8" x14ac:dyDescent="0.25">
      <c r="A39" s="2">
        <v>10248.459999999999</v>
      </c>
      <c r="B39" s="2">
        <v>16153.05</v>
      </c>
      <c r="C39" s="2">
        <v>1641.75</v>
      </c>
      <c r="D39" s="29">
        <v>0.23519999999999999</v>
      </c>
    </row>
    <row r="42" spans="1:8" x14ac:dyDescent="0.25">
      <c r="A42" s="206" t="s">
        <v>117</v>
      </c>
      <c r="B42" s="206"/>
      <c r="C42" s="206"/>
    </row>
    <row r="44" spans="1:8" x14ac:dyDescent="0.25">
      <c r="A44" s="27" t="s">
        <v>118</v>
      </c>
      <c r="B44" s="27" t="s">
        <v>119</v>
      </c>
      <c r="C44" s="27" t="s">
        <v>120</v>
      </c>
      <c r="E44" s="28" t="s">
        <v>121</v>
      </c>
      <c r="F44" s="2">
        <f>+I11</f>
        <v>2037.44</v>
      </c>
      <c r="G44" s="2">
        <f>+I12</f>
        <v>1050</v>
      </c>
      <c r="H44" s="2">
        <f>+I23</f>
        <v>1125</v>
      </c>
    </row>
    <row r="45" spans="1:8" x14ac:dyDescent="0.25">
      <c r="A45" s="2">
        <v>0.01</v>
      </c>
      <c r="B45" s="2">
        <v>872.85</v>
      </c>
      <c r="C45" s="2">
        <v>200.85</v>
      </c>
      <c r="E45" t="s">
        <v>112</v>
      </c>
      <c r="F45" s="2">
        <f>+A34</f>
        <v>244.81</v>
      </c>
      <c r="G45" s="2">
        <f>+A34</f>
        <v>244.81</v>
      </c>
      <c r="H45" s="2">
        <f>+A34</f>
        <v>244.81</v>
      </c>
    </row>
    <row r="46" spans="1:8" x14ac:dyDescent="0.25">
      <c r="A46" s="2">
        <v>872.86</v>
      </c>
      <c r="B46" s="2">
        <v>1309.2</v>
      </c>
      <c r="C46" s="2">
        <v>200.7</v>
      </c>
      <c r="E46" t="s">
        <v>122</v>
      </c>
      <c r="F46" s="2">
        <f>+F44-F45</f>
        <v>1792.63</v>
      </c>
      <c r="G46" s="2">
        <f>+G44-G45</f>
        <v>805.19</v>
      </c>
      <c r="H46" s="2">
        <f>+H44-H45</f>
        <v>880.19</v>
      </c>
    </row>
    <row r="47" spans="1:8" x14ac:dyDescent="0.25">
      <c r="A47" s="2">
        <v>1309.21</v>
      </c>
      <c r="B47" s="2">
        <v>1713.6</v>
      </c>
      <c r="C47" s="2">
        <v>200.7</v>
      </c>
      <c r="E47" t="s">
        <v>123</v>
      </c>
      <c r="F47" s="2">
        <f>+F46*D34</f>
        <v>114.72832000000001</v>
      </c>
      <c r="G47" s="30">
        <f>+G46*D34</f>
        <v>51.532160000000005</v>
      </c>
      <c r="H47" s="30">
        <f>+H46*D34</f>
        <v>56.332160000000002</v>
      </c>
    </row>
    <row r="48" spans="1:8" x14ac:dyDescent="0.25">
      <c r="A48" s="2">
        <v>1713.61</v>
      </c>
      <c r="B48" s="2">
        <v>1745.7</v>
      </c>
      <c r="C48" s="2">
        <v>193.8</v>
      </c>
      <c r="E48" t="s">
        <v>114</v>
      </c>
      <c r="F48" s="2">
        <f>+C34</f>
        <v>4.6500000000000004</v>
      </c>
      <c r="G48" s="30">
        <f>+C34</f>
        <v>4.6500000000000004</v>
      </c>
      <c r="H48" s="2">
        <f>+C34</f>
        <v>4.6500000000000004</v>
      </c>
    </row>
    <row r="49" spans="1:8" x14ac:dyDescent="0.25">
      <c r="A49" s="2">
        <v>1745.71</v>
      </c>
      <c r="B49" s="2">
        <v>2193.75</v>
      </c>
      <c r="C49" s="2">
        <v>188.7</v>
      </c>
      <c r="E49" t="s">
        <v>124</v>
      </c>
      <c r="F49" s="2">
        <f>+F47+F48</f>
        <v>119.37832000000002</v>
      </c>
      <c r="G49" s="30">
        <f>+G47+G48</f>
        <v>56.182160000000003</v>
      </c>
      <c r="H49" s="32">
        <f>+H47+H48</f>
        <v>60.98216</v>
      </c>
    </row>
    <row r="50" spans="1:8" x14ac:dyDescent="0.25">
      <c r="A50" s="2">
        <v>2193.7600000000002</v>
      </c>
      <c r="B50" s="2">
        <v>2327.5500000000002</v>
      </c>
      <c r="C50" s="2">
        <v>174.75</v>
      </c>
      <c r="E50" t="s">
        <v>125</v>
      </c>
      <c r="F50" s="2">
        <f>+C46</f>
        <v>200.7</v>
      </c>
      <c r="G50" s="2">
        <f>+C46</f>
        <v>200.7</v>
      </c>
      <c r="H50" s="2">
        <f>+C46</f>
        <v>200.7</v>
      </c>
    </row>
    <row r="51" spans="1:8" x14ac:dyDescent="0.25">
      <c r="A51" s="2"/>
      <c r="B51" s="2"/>
      <c r="C51" s="2"/>
      <c r="E51" t="s">
        <v>126</v>
      </c>
      <c r="F51" s="2">
        <f>+F50-F49</f>
        <v>81.321679999999972</v>
      </c>
      <c r="G51" s="30">
        <f>+G50-G49</f>
        <v>144.51783999999998</v>
      </c>
      <c r="H51" s="2">
        <f>+H50-H49</f>
        <v>139.71784</v>
      </c>
    </row>
  </sheetData>
  <mergeCells count="6">
    <mergeCell ref="A42:C42"/>
    <mergeCell ref="L9:M9"/>
    <mergeCell ref="I9:J9"/>
    <mergeCell ref="I21:J21"/>
    <mergeCell ref="L21:M21"/>
    <mergeCell ref="A30:D3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zoomScaleNormal="100" workbookViewId="0">
      <selection activeCell="D15" sqref="D15"/>
    </sheetView>
  </sheetViews>
  <sheetFormatPr baseColWidth="10" defaultRowHeight="15" x14ac:dyDescent="0.25"/>
  <cols>
    <col min="1" max="1" width="16" customWidth="1"/>
    <col min="2" max="2" width="20.7109375" customWidth="1"/>
    <col min="3" max="3" width="32.7109375" bestFit="1" customWidth="1"/>
    <col min="4" max="4" width="19.28515625" customWidth="1"/>
    <col min="5" max="5" width="17.5703125" customWidth="1"/>
  </cols>
  <sheetData>
    <row r="1" spans="1:5" ht="15.75" thickBot="1" x14ac:dyDescent="0.3">
      <c r="A1" s="109" t="s">
        <v>180</v>
      </c>
      <c r="B1" s="109"/>
      <c r="C1" s="109"/>
      <c r="D1" s="110" t="s">
        <v>142</v>
      </c>
      <c r="E1" s="108" t="s">
        <v>135</v>
      </c>
    </row>
    <row r="2" spans="1:5" x14ac:dyDescent="0.25">
      <c r="A2" s="39" t="s">
        <v>52</v>
      </c>
      <c r="B2" s="43" t="s">
        <v>53</v>
      </c>
      <c r="C2" s="40" t="s">
        <v>127</v>
      </c>
      <c r="D2" s="43" t="s">
        <v>128</v>
      </c>
      <c r="E2" s="82" t="s">
        <v>129</v>
      </c>
    </row>
    <row r="3" spans="1:5" x14ac:dyDescent="0.25">
      <c r="A3" s="96" t="s">
        <v>281</v>
      </c>
      <c r="B3" s="97" t="str">
        <f>LOOKUP(A3,'CATALOGO DE CUENTAS'!A7:A64,'CATALOGO DE CUENTAS'!B7:B64)</f>
        <v>Cuenta puente</v>
      </c>
      <c r="C3" s="98" t="s">
        <v>325</v>
      </c>
      <c r="D3" s="99">
        <f>+'ESQUEMAS DE MAYOR'!J40</f>
        <v>55000</v>
      </c>
      <c r="E3" s="100"/>
    </row>
    <row r="4" spans="1:5" x14ac:dyDescent="0.25">
      <c r="A4" s="96" t="s">
        <v>70</v>
      </c>
      <c r="B4" s="62" t="str">
        <f>LOOKUP(A4,'CATALOGO DE CUENTAS'!A7:A64,'CATALOGO DE CUENTAS'!B7:B64)</f>
        <v>Producto A</v>
      </c>
      <c r="C4" s="35" t="s">
        <v>325</v>
      </c>
      <c r="D4" s="56">
        <f>+'ESQUEMAS DE MAYOR'!N3</f>
        <v>5000</v>
      </c>
      <c r="E4" s="57"/>
    </row>
    <row r="5" spans="1:5" x14ac:dyDescent="0.25">
      <c r="A5" s="96" t="s">
        <v>79</v>
      </c>
      <c r="B5" s="101" t="str">
        <f>LOOKUP(A5,'CATALOGO DE CUENTAS'!A7:A64,'CATALOGO DE CUENTAS'!B7:B64)</f>
        <v>Hectarea de 100x100</v>
      </c>
      <c r="C5" s="75" t="s">
        <v>325</v>
      </c>
      <c r="D5" s="102">
        <f>+'ESQUEMAS DE MAYOR'!N33</f>
        <v>500000</v>
      </c>
      <c r="E5" s="103"/>
    </row>
    <row r="6" spans="1:5" x14ac:dyDescent="0.25">
      <c r="A6" s="96" t="s">
        <v>80</v>
      </c>
      <c r="B6" s="62" t="str">
        <f>LOOKUP(A6,'CATALOGO DE CUENTAS'!A8:A65,'CATALOGO DE CUENTAS'!B8:B65)</f>
        <v xml:space="preserve">Inmueble </v>
      </c>
      <c r="C6" s="35" t="s">
        <v>325</v>
      </c>
      <c r="D6" s="56">
        <f>+'ESQUEMAS DE MAYOR'!B40</f>
        <v>150000</v>
      </c>
      <c r="E6" s="57"/>
    </row>
    <row r="7" spans="1:5" x14ac:dyDescent="0.25">
      <c r="A7" s="96" t="s">
        <v>297</v>
      </c>
      <c r="B7" s="101" t="str">
        <f>LOOKUP(A7,'CATALOGO DE CUENTAS'!A9:A66,'CATALOGO DE CUENTAS'!B9:B66)</f>
        <v>Local 58</v>
      </c>
      <c r="C7" s="75" t="s">
        <v>325</v>
      </c>
      <c r="D7" s="102"/>
      <c r="E7" s="103">
        <f>+'ESQUEMAS DE MAYOR'!G40</f>
        <v>30000</v>
      </c>
    </row>
    <row r="8" spans="1:5" x14ac:dyDescent="0.25">
      <c r="A8" s="96" t="s">
        <v>93</v>
      </c>
      <c r="B8" s="62" t="str">
        <f>LOOKUP(A8,'CATALOGO DE CUENTAS'!A10:A67,'CATALOGO DE CUENTAS'!B10:B67)</f>
        <v>C. Contribuido</v>
      </c>
      <c r="C8" s="35" t="s">
        <v>325</v>
      </c>
      <c r="D8" s="56"/>
      <c r="E8" s="57">
        <f>+'ESQUEMAS DE MAYOR'!G13</f>
        <v>680000</v>
      </c>
    </row>
    <row r="9" spans="1:5" ht="15.75" thickBot="1" x14ac:dyDescent="0.3">
      <c r="A9" s="104"/>
      <c r="B9" s="105"/>
      <c r="C9" s="105"/>
      <c r="D9" s="106"/>
      <c r="E9" s="107"/>
    </row>
    <row r="10" spans="1:5" ht="15.75" thickBot="1" x14ac:dyDescent="0.3">
      <c r="A10" t="s">
        <v>130</v>
      </c>
      <c r="B10" s="28"/>
      <c r="C10" s="4"/>
      <c r="D10" s="60">
        <f>SUM(D3:D9)</f>
        <v>710000</v>
      </c>
      <c r="E10" s="60">
        <f>SUM(E3:E9)</f>
        <v>710000</v>
      </c>
    </row>
    <row r="11" spans="1:5" x14ac:dyDescent="0.25">
      <c r="B11" s="28"/>
      <c r="C11" s="4"/>
    </row>
    <row r="13" spans="1:5" ht="15.75" thickBot="1" x14ac:dyDescent="0.3">
      <c r="A13" s="109" t="s">
        <v>180</v>
      </c>
      <c r="B13" s="109"/>
      <c r="C13" s="109"/>
      <c r="D13" s="110" t="s">
        <v>142</v>
      </c>
      <c r="E13" s="108" t="s">
        <v>135</v>
      </c>
    </row>
    <row r="14" spans="1:5" x14ac:dyDescent="0.25">
      <c r="A14" s="39" t="s">
        <v>52</v>
      </c>
      <c r="B14" s="43" t="s">
        <v>53</v>
      </c>
      <c r="C14" s="40" t="s">
        <v>127</v>
      </c>
      <c r="D14" s="43" t="s">
        <v>128</v>
      </c>
      <c r="E14" s="82" t="s">
        <v>129</v>
      </c>
    </row>
    <row r="15" spans="1:5" x14ac:dyDescent="0.25">
      <c r="A15" s="96" t="s">
        <v>74</v>
      </c>
      <c r="B15" s="97">
        <f>LOOKUP(A15,'CATALOGO DE CUENTAS'!A7:A71,'CATALOGO DE CUENTAS'!B7:B71)</f>
        <v>0.16</v>
      </c>
      <c r="C15" s="112" t="s">
        <v>326</v>
      </c>
      <c r="D15" s="99">
        <f>+'ESQUEMAS DE MAYOR'!N4</f>
        <v>7500</v>
      </c>
      <c r="E15" s="100"/>
    </row>
    <row r="16" spans="1:5" x14ac:dyDescent="0.25">
      <c r="A16" s="96" t="s">
        <v>74</v>
      </c>
      <c r="B16" s="97">
        <f>LOOKUP(A16,'CATALOGO DE CUENTAS'!A8:A72,'CATALOGO DE CUENTAS'!B8:B72)</f>
        <v>0.16</v>
      </c>
      <c r="C16" s="35" t="s">
        <v>326</v>
      </c>
      <c r="D16" s="56">
        <f>+'ESQUEMAS DE MAYOR'!J12</f>
        <v>1200</v>
      </c>
      <c r="E16" s="57"/>
    </row>
    <row r="17" spans="1:5" x14ac:dyDescent="0.25">
      <c r="A17" s="96" t="s">
        <v>82</v>
      </c>
      <c r="B17" s="97" t="str">
        <f>LOOKUP(A17,'CATALOGO DE CUENTAS'!A9:A73,'CATALOGO DE CUENTAS'!B9:B73)</f>
        <v>General tire, s.a de c,v</v>
      </c>
      <c r="C17" s="75" t="s">
        <v>326</v>
      </c>
      <c r="D17" s="102"/>
      <c r="E17" s="103">
        <f>+'ESQUEMAS DE MAYOR'!O12</f>
        <v>8700</v>
      </c>
    </row>
    <row r="18" spans="1:5" x14ac:dyDescent="0.25">
      <c r="A18" s="96"/>
      <c r="B18" s="97"/>
      <c r="C18" s="35"/>
      <c r="D18" s="56"/>
      <c r="E18" s="57"/>
    </row>
    <row r="19" spans="1:5" x14ac:dyDescent="0.25">
      <c r="A19" s="96"/>
      <c r="B19" s="101"/>
      <c r="C19" s="75"/>
      <c r="D19" s="102"/>
      <c r="E19" s="103">
        <f>+'ESQUEMAS DE MAYOR'!G52</f>
        <v>0</v>
      </c>
    </row>
    <row r="20" spans="1:5" x14ac:dyDescent="0.25">
      <c r="A20" s="96"/>
      <c r="B20" s="62"/>
      <c r="C20" s="35"/>
      <c r="D20" s="56"/>
      <c r="E20" s="57">
        <f>+'ESQUEMAS DE MAYOR'!G25</f>
        <v>0</v>
      </c>
    </row>
    <row r="21" spans="1:5" ht="15.75" thickBot="1" x14ac:dyDescent="0.3">
      <c r="A21" s="104"/>
      <c r="B21" s="105"/>
      <c r="C21" s="105"/>
      <c r="D21" s="106"/>
      <c r="E21" s="107"/>
    </row>
    <row r="22" spans="1:5" ht="15.75" thickBot="1" x14ac:dyDescent="0.3">
      <c r="A22" t="s">
        <v>130</v>
      </c>
      <c r="B22" s="28"/>
      <c r="C22" s="4"/>
      <c r="D22" s="60">
        <f>SUM(D15:D21)</f>
        <v>8700</v>
      </c>
      <c r="E22" s="60">
        <f>SUM(E15:E21)</f>
        <v>8700</v>
      </c>
    </row>
    <row r="25" spans="1:5" ht="15.75" thickBot="1" x14ac:dyDescent="0.3">
      <c r="A25" s="109" t="s">
        <v>180</v>
      </c>
      <c r="B25" s="109"/>
      <c r="C25" s="109"/>
      <c r="D25" s="110" t="s">
        <v>142</v>
      </c>
      <c r="E25" s="108" t="s">
        <v>135</v>
      </c>
    </row>
    <row r="26" spans="1:5" x14ac:dyDescent="0.25">
      <c r="A26" s="39" t="s">
        <v>52</v>
      </c>
      <c r="B26" s="43" t="s">
        <v>53</v>
      </c>
      <c r="C26" s="40" t="s">
        <v>127</v>
      </c>
      <c r="D26" s="43" t="s">
        <v>128</v>
      </c>
      <c r="E26" s="82" t="s">
        <v>129</v>
      </c>
    </row>
    <row r="27" spans="1:5" x14ac:dyDescent="0.25">
      <c r="A27" s="96" t="s">
        <v>66</v>
      </c>
      <c r="B27" s="97" t="str">
        <f>LOOKUP(A27,'CATALOGO DE CUENTAS'!A7:A71,'CATALOGO DE CUENTAS'!B7:B71)</f>
        <v>Diana Gaitan</v>
      </c>
      <c r="C27" s="112" t="s">
        <v>329</v>
      </c>
      <c r="D27" s="99">
        <f>+'ESQUEMAS DE MAYOR'!J26</f>
        <v>40600</v>
      </c>
      <c r="E27" s="100"/>
    </row>
    <row r="28" spans="1:5" x14ac:dyDescent="0.25">
      <c r="A28" s="96" t="s">
        <v>96</v>
      </c>
      <c r="B28" s="97">
        <f>LOOKUP(A28,'CATALOGO DE CUENTAS'!A8:A72,'CATALOGO DE CUENTAS'!B8:B72)</f>
        <v>0.16</v>
      </c>
      <c r="C28" s="35" t="s">
        <v>329</v>
      </c>
      <c r="D28" s="56">
        <f>+'ESQUEMAS DE MAYOR'!J24</f>
        <v>0</v>
      </c>
      <c r="E28" s="57">
        <f>+'ESQUEMAS DE MAYOR'!C19</f>
        <v>35000</v>
      </c>
    </row>
    <row r="29" spans="1:5" x14ac:dyDescent="0.25">
      <c r="A29" s="96" t="s">
        <v>88</v>
      </c>
      <c r="B29" s="97">
        <f>LOOKUP(A29,'CATALOGO DE CUENTAS'!A9:A73,'CATALOGO DE CUENTAS'!B9:B73)</f>
        <v>0.16</v>
      </c>
      <c r="C29" s="75" t="s">
        <v>329</v>
      </c>
      <c r="D29" s="102"/>
      <c r="E29" s="103">
        <f>+'ESQUEMAS DE MAYOR'!K19</f>
        <v>5600</v>
      </c>
    </row>
    <row r="30" spans="1:5" x14ac:dyDescent="0.25">
      <c r="A30" s="96">
        <v>5101</v>
      </c>
      <c r="B30" s="97" t="str">
        <f>LOOKUP(A30,'CATALOGO DE CUENTAS'!A10:A74,'CATALOGO DE CUENTAS'!B10:B74)</f>
        <v>COSTO DE VENTA</v>
      </c>
      <c r="C30" s="35"/>
      <c r="D30" s="56">
        <f>+'ESQUEMAS DE MAYOR'!B26</f>
        <v>9450</v>
      </c>
      <c r="E30" s="57"/>
    </row>
    <row r="31" spans="1:5" x14ac:dyDescent="0.25">
      <c r="A31" s="96" t="s">
        <v>70</v>
      </c>
      <c r="B31" s="97" t="str">
        <f>LOOKUP(A31,'CATALOGO DE CUENTAS'!A11:A75,'CATALOGO DE CUENTAS'!B11:B75)</f>
        <v>Producto A</v>
      </c>
      <c r="C31" s="75"/>
      <c r="D31" s="102"/>
      <c r="E31" s="103">
        <f>+'ESQUEMAS DE MAYOR'!O3</f>
        <v>9450</v>
      </c>
    </row>
    <row r="32" spans="1:5" x14ac:dyDescent="0.25">
      <c r="A32" s="96"/>
      <c r="B32" s="62"/>
      <c r="C32" s="35"/>
      <c r="D32" s="56"/>
      <c r="E32" s="57">
        <f>+'ESQUEMAS DE MAYOR'!G37</f>
        <v>0</v>
      </c>
    </row>
    <row r="33" spans="1:5" ht="15.75" thickBot="1" x14ac:dyDescent="0.3">
      <c r="A33" s="104"/>
      <c r="B33" s="105"/>
      <c r="C33" s="105"/>
      <c r="D33" s="106"/>
      <c r="E33" s="107"/>
    </row>
    <row r="34" spans="1:5" ht="15.75" thickBot="1" x14ac:dyDescent="0.3">
      <c r="A34" t="s">
        <v>130</v>
      </c>
      <c r="B34" s="28"/>
      <c r="C34" s="4"/>
      <c r="D34" s="60">
        <f>SUM(D27:D33)</f>
        <v>50050</v>
      </c>
      <c r="E34" s="60">
        <f>SUM(E27:E33)</f>
        <v>50050</v>
      </c>
    </row>
    <row r="37" spans="1:5" ht="15.75" thickBot="1" x14ac:dyDescent="0.3">
      <c r="A37" s="109" t="s">
        <v>180</v>
      </c>
      <c r="B37" s="109"/>
      <c r="C37" s="109"/>
      <c r="D37" s="110" t="s">
        <v>142</v>
      </c>
      <c r="E37" s="108" t="s">
        <v>135</v>
      </c>
    </row>
    <row r="38" spans="1:5" x14ac:dyDescent="0.25">
      <c r="A38" s="39" t="s">
        <v>52</v>
      </c>
      <c r="B38" s="43" t="s">
        <v>53</v>
      </c>
      <c r="C38" s="40" t="s">
        <v>127</v>
      </c>
      <c r="D38" s="43" t="s">
        <v>128</v>
      </c>
      <c r="E38" s="82" t="s">
        <v>129</v>
      </c>
    </row>
    <row r="39" spans="1:5" x14ac:dyDescent="0.25">
      <c r="A39" s="96" t="s">
        <v>96</v>
      </c>
      <c r="B39" s="97">
        <f>LOOKUP(A39,'CATALOGO DE CUENTAS'!A7:A71,'CATALOGO DE CUENTAS'!B7:B71)</f>
        <v>0.16</v>
      </c>
      <c r="C39" s="112" t="s">
        <v>348</v>
      </c>
      <c r="D39" s="99">
        <f>+'ESQUEMAS DE MAYOR'!B19</f>
        <v>5000</v>
      </c>
      <c r="E39" s="100"/>
    </row>
    <row r="40" spans="1:5" x14ac:dyDescent="0.25">
      <c r="A40" s="96" t="s">
        <v>88</v>
      </c>
      <c r="B40" s="97">
        <f>LOOKUP(A40,'CATALOGO DE CUENTAS'!A8:A72,'CATALOGO DE CUENTAS'!B8:B72)</f>
        <v>0.16</v>
      </c>
      <c r="C40" s="35" t="s">
        <v>348</v>
      </c>
      <c r="D40" s="56">
        <f>+'ESQUEMAS DE MAYOR'!J20</f>
        <v>800</v>
      </c>
      <c r="E40" s="57">
        <f>+'ESQUEMAS DE MAYOR'!C31</f>
        <v>0</v>
      </c>
    </row>
    <row r="41" spans="1:5" x14ac:dyDescent="0.25">
      <c r="A41" s="96" t="s">
        <v>66</v>
      </c>
      <c r="B41" s="97" t="str">
        <f>LOOKUP(A41,'CATALOGO DE CUENTAS'!A9:A73,'CATALOGO DE CUENTAS'!B9:B73)</f>
        <v>Diana Gaitan</v>
      </c>
      <c r="C41" s="75" t="s">
        <v>348</v>
      </c>
      <c r="D41" s="102"/>
      <c r="E41" s="103">
        <f>+'ESQUEMAS DE MAYOR'!K27</f>
        <v>5800</v>
      </c>
    </row>
    <row r="42" spans="1:5" x14ac:dyDescent="0.25">
      <c r="A42" s="96" t="s">
        <v>70</v>
      </c>
      <c r="B42" s="97" t="str">
        <f>LOOKUP(A42,'CATALOGO DE CUENTAS'!A10:A74,'CATALOGO DE CUENTAS'!B10:B74)</f>
        <v>Producto A</v>
      </c>
      <c r="C42" s="35" t="s">
        <v>348</v>
      </c>
      <c r="D42" s="56">
        <f>+'ESQUEMAS DE MAYOR'!N7</f>
        <v>1350</v>
      </c>
      <c r="E42" s="57"/>
    </row>
    <row r="43" spans="1:5" x14ac:dyDescent="0.25">
      <c r="A43" s="96">
        <v>5101</v>
      </c>
      <c r="B43" s="97" t="str">
        <f>LOOKUP(A43,'CATALOGO DE CUENTAS'!A11:A75,'CATALOGO DE CUENTAS'!B11:B75)</f>
        <v>COSTO DE VENTA</v>
      </c>
      <c r="C43" s="75" t="s">
        <v>348</v>
      </c>
      <c r="D43" s="102"/>
      <c r="E43" s="103">
        <f>+'ESQUEMAS DE MAYOR'!C26</f>
        <v>1350</v>
      </c>
    </row>
    <row r="44" spans="1:5" x14ac:dyDescent="0.25">
      <c r="A44" s="96"/>
      <c r="B44" s="62"/>
      <c r="C44" s="35"/>
      <c r="D44" s="56"/>
      <c r="E44" s="57">
        <f>+'ESQUEMAS DE MAYOR'!G49</f>
        <v>0</v>
      </c>
    </row>
    <row r="45" spans="1:5" ht="15.75" thickBot="1" x14ac:dyDescent="0.3">
      <c r="A45" s="104"/>
      <c r="B45" s="105"/>
      <c r="C45" s="105"/>
      <c r="D45" s="106"/>
      <c r="E45" s="107"/>
    </row>
    <row r="46" spans="1:5" ht="15.75" thickBot="1" x14ac:dyDescent="0.3">
      <c r="A46" t="s">
        <v>130</v>
      </c>
      <c r="B46" s="28"/>
      <c r="C46" s="4"/>
      <c r="D46" s="60">
        <f>SUM(D39:D45)</f>
        <v>7150</v>
      </c>
      <c r="E46" s="60">
        <f>SUM(E39:E45)</f>
        <v>7150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'CATALOGO DE CUENTAS'!$A$6:$A$71</xm:f>
          </x14:formula1>
          <xm:sqref>A3:A8 A19:A20 A31:A32 A43:A44</xm:sqref>
        </x14:dataValidation>
        <x14:dataValidation type="list" allowBlank="1" showInputMessage="1" showErrorMessage="1">
          <x14:formula1>
            <xm:f>'CATALOGO DE CUENTAS'!$A$7:$A$71</xm:f>
          </x14:formula1>
          <xm:sqref>A15:A18 A27:A30 A39:A42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opLeftCell="A10" zoomScaleNormal="100" workbookViewId="0">
      <selection activeCell="F12" sqref="F12"/>
    </sheetView>
  </sheetViews>
  <sheetFormatPr baseColWidth="10" defaultRowHeight="15" x14ac:dyDescent="0.25"/>
  <cols>
    <col min="1" max="1" width="18.7109375" customWidth="1"/>
    <col min="2" max="2" width="23.140625" customWidth="1"/>
    <col min="3" max="3" width="42.28515625" customWidth="1"/>
    <col min="4" max="4" width="15.5703125" customWidth="1"/>
    <col min="5" max="5" width="17.42578125" customWidth="1"/>
  </cols>
  <sheetData>
    <row r="1" spans="1:5" ht="15.75" thickBot="1" x14ac:dyDescent="0.3">
      <c r="A1" s="46" t="s">
        <v>135</v>
      </c>
    </row>
    <row r="2" spans="1:5" x14ac:dyDescent="0.25">
      <c r="A2" s="83" t="s">
        <v>52</v>
      </c>
      <c r="B2" s="84" t="s">
        <v>53</v>
      </c>
      <c r="C2" s="85" t="s">
        <v>127</v>
      </c>
      <c r="D2" s="85" t="s">
        <v>128</v>
      </c>
      <c r="E2" s="86" t="s">
        <v>129</v>
      </c>
    </row>
    <row r="3" spans="1:5" x14ac:dyDescent="0.25">
      <c r="A3" s="96" t="s">
        <v>138</v>
      </c>
      <c r="B3" s="97" t="str">
        <f>LOOKUP(A3,'CATALOGO DE CUENTAS'!A7:A64,'CATALOGO DE CUENTAS'!B7:B64)</f>
        <v>Acondicionamiento</v>
      </c>
      <c r="C3" s="98" t="s">
        <v>305</v>
      </c>
      <c r="D3" s="99">
        <f>+'ESQUEMAS DE MAYOR'!B12</f>
        <v>5000</v>
      </c>
      <c r="E3" s="100"/>
    </row>
    <row r="4" spans="1:5" x14ac:dyDescent="0.25">
      <c r="A4" s="87" t="s">
        <v>72</v>
      </c>
      <c r="B4" s="88">
        <f>LOOKUP(A4,'CATALOGO DE CUENTAS'!A7:A64,'CATALOGO DE CUENTAS'!B7:B64)</f>
        <v>0.16</v>
      </c>
      <c r="C4" s="89" t="s">
        <v>305</v>
      </c>
      <c r="D4" s="90">
        <f>+'ESQUEMAS DE MAYOR'!N19</f>
        <v>800</v>
      </c>
      <c r="E4" s="91"/>
    </row>
    <row r="5" spans="1:5" x14ac:dyDescent="0.25">
      <c r="A5" s="96" t="s">
        <v>60</v>
      </c>
      <c r="B5" s="101" t="str">
        <f>LOOKUP(A5,'CATALOGO DE CUENTAS'!A7:A64,'CATALOGO DE CUENTAS'!B7:B64)</f>
        <v>Banorte Cta. 5505</v>
      </c>
      <c r="C5" s="75" t="s">
        <v>305</v>
      </c>
      <c r="D5" s="102"/>
      <c r="E5" s="103">
        <f>+'ESQUEMAS DE MAYOR'!G3</f>
        <v>5800</v>
      </c>
    </row>
    <row r="6" spans="1:5" x14ac:dyDescent="0.25">
      <c r="A6" s="87"/>
      <c r="B6" s="88"/>
      <c r="C6" s="89"/>
      <c r="D6" s="90"/>
      <c r="E6" s="91"/>
    </row>
    <row r="7" spans="1:5" x14ac:dyDescent="0.25">
      <c r="A7" s="96"/>
      <c r="B7" s="101"/>
      <c r="C7" s="75"/>
      <c r="D7" s="102"/>
      <c r="E7" s="103"/>
    </row>
    <row r="8" spans="1:5" x14ac:dyDescent="0.25">
      <c r="A8" s="87"/>
      <c r="B8" s="88"/>
      <c r="C8" s="89"/>
      <c r="D8" s="90"/>
      <c r="E8" s="91"/>
    </row>
    <row r="9" spans="1:5" ht="15.75" thickBot="1" x14ac:dyDescent="0.3">
      <c r="A9" s="104"/>
      <c r="B9" s="105"/>
      <c r="C9" s="105"/>
      <c r="D9" s="106"/>
      <c r="E9" s="107"/>
    </row>
    <row r="10" spans="1:5" ht="15.75" thickBot="1" x14ac:dyDescent="0.3">
      <c r="A10" t="s">
        <v>130</v>
      </c>
      <c r="B10" s="3"/>
      <c r="C10" s="4"/>
      <c r="D10" s="60">
        <f>SUM(D3:D9)</f>
        <v>5800</v>
      </c>
      <c r="E10" s="92">
        <f>SUM(E3:E9)</f>
        <v>5800</v>
      </c>
    </row>
    <row r="11" spans="1:5" x14ac:dyDescent="0.25">
      <c r="B11" s="3"/>
      <c r="C11" s="4"/>
    </row>
    <row r="12" spans="1:5" ht="15.75" thickBot="1" x14ac:dyDescent="0.3"/>
    <row r="13" spans="1:5" ht="15.75" thickBot="1" x14ac:dyDescent="0.3">
      <c r="A13" s="46" t="s">
        <v>165</v>
      </c>
    </row>
    <row r="14" spans="1:5" x14ac:dyDescent="0.25">
      <c r="A14" s="151" t="s">
        <v>52</v>
      </c>
      <c r="B14" s="84" t="s">
        <v>53</v>
      </c>
      <c r="C14" s="85" t="s">
        <v>127</v>
      </c>
      <c r="D14" s="85" t="s">
        <v>128</v>
      </c>
      <c r="E14" s="86" t="s">
        <v>129</v>
      </c>
    </row>
    <row r="15" spans="1:5" x14ac:dyDescent="0.25">
      <c r="A15" s="152" t="s">
        <v>70</v>
      </c>
      <c r="B15" s="117" t="str">
        <f>LOOKUP(A15,'CATALOGO DE CUENTAS'!A7:A64,'CATALOGO DE CUENTAS'!B7:B64)</f>
        <v>Producto A</v>
      </c>
      <c r="C15" s="112" t="s">
        <v>327</v>
      </c>
      <c r="D15" s="99">
        <f>+'ESQUEMAS DE MAYOR'!N4</f>
        <v>7500</v>
      </c>
      <c r="E15" s="100"/>
    </row>
    <row r="16" spans="1:5" x14ac:dyDescent="0.25">
      <c r="A16" s="152" t="s">
        <v>72</v>
      </c>
      <c r="B16" s="150">
        <f>LOOKUP(A16,'CATALOGO DE CUENTAS'!A8:A65,'CATALOGO DE CUENTAS'!B8:B65)</f>
        <v>0.16</v>
      </c>
      <c r="C16" s="94" t="s">
        <v>327</v>
      </c>
      <c r="D16" s="90">
        <f>+'ESQUEMAS DE MAYOR'!N20</f>
        <v>160</v>
      </c>
      <c r="E16" s="91"/>
    </row>
    <row r="17" spans="1:5" x14ac:dyDescent="0.25">
      <c r="A17" s="152" t="s">
        <v>60</v>
      </c>
      <c r="B17" s="116" t="str">
        <f>LOOKUP(A17,'CATALOGO DE CUENTAS'!A9:A66,'CATALOGO DE CUENTAS'!B9:B66)</f>
        <v>Banorte Cta. 5505</v>
      </c>
      <c r="C17" s="74" t="s">
        <v>327</v>
      </c>
      <c r="D17" s="102"/>
      <c r="E17" s="103">
        <f>+'ESQUEMAS DE MAYOR'!O12</f>
        <v>8700</v>
      </c>
    </row>
    <row r="18" spans="1:5" x14ac:dyDescent="0.25">
      <c r="A18" s="95"/>
      <c r="B18" s="88"/>
      <c r="C18" s="94"/>
      <c r="D18" s="90"/>
      <c r="E18" s="91"/>
    </row>
    <row r="19" spans="1:5" x14ac:dyDescent="0.25">
      <c r="A19" s="113"/>
      <c r="B19" s="101"/>
      <c r="C19" s="74"/>
      <c r="D19" s="102"/>
      <c r="E19" s="103"/>
    </row>
    <row r="20" spans="1:5" x14ac:dyDescent="0.25">
      <c r="A20" s="95"/>
      <c r="B20" s="88"/>
      <c r="C20" s="94"/>
      <c r="D20" s="90"/>
      <c r="E20" s="91"/>
    </row>
    <row r="21" spans="1:5" ht="15.75" thickBot="1" x14ac:dyDescent="0.3">
      <c r="A21" s="114"/>
      <c r="B21" s="105"/>
      <c r="C21" s="115"/>
      <c r="D21" s="106"/>
      <c r="E21" s="107"/>
    </row>
    <row r="22" spans="1:5" ht="15.75" thickBot="1" x14ac:dyDescent="0.3">
      <c r="A22" t="s">
        <v>130</v>
      </c>
      <c r="B22" s="3"/>
      <c r="C22" s="4"/>
      <c r="D22" s="60">
        <f>SUM(D15:D21)</f>
        <v>7660</v>
      </c>
      <c r="E22" s="92">
        <f>SUM(E15:E21)</f>
        <v>8700</v>
      </c>
    </row>
    <row r="25" spans="1:5" ht="15.75" thickBot="1" x14ac:dyDescent="0.3"/>
    <row r="26" spans="1:5" ht="15.75" thickBot="1" x14ac:dyDescent="0.3">
      <c r="A26" s="46" t="s">
        <v>165</v>
      </c>
    </row>
    <row r="27" spans="1:5" x14ac:dyDescent="0.25">
      <c r="A27" s="151" t="s">
        <v>52</v>
      </c>
      <c r="B27" s="84" t="s">
        <v>53</v>
      </c>
      <c r="C27" s="85" t="s">
        <v>127</v>
      </c>
      <c r="D27" s="85" t="s">
        <v>128</v>
      </c>
      <c r="E27" s="86" t="s">
        <v>129</v>
      </c>
    </row>
    <row r="28" spans="1:5" x14ac:dyDescent="0.25">
      <c r="A28" s="152" t="s">
        <v>307</v>
      </c>
      <c r="B28" s="117" t="str">
        <f>LOOKUP(A28,'CATALOGO DE CUENTAS'!A7:A71,'CATALOGO DE CUENTAS'!B7:B71)</f>
        <v>Publicidad</v>
      </c>
      <c r="C28" s="112" t="s">
        <v>335</v>
      </c>
      <c r="D28" s="99">
        <f>+'ESQUEMAS DE MAYOR'!N26</f>
        <v>10000</v>
      </c>
      <c r="E28" s="100"/>
    </row>
    <row r="29" spans="1:5" x14ac:dyDescent="0.25">
      <c r="A29" s="152" t="s">
        <v>72</v>
      </c>
      <c r="B29" s="117">
        <f>LOOKUP(A29,'CATALOGO DE CUENTAS'!A8:A72,'CATALOGO DE CUENTAS'!B8:B72)</f>
        <v>0.16</v>
      </c>
      <c r="C29" s="94" t="s">
        <v>335</v>
      </c>
      <c r="D29" s="90">
        <f>+'ESQUEMAS DE MAYOR'!N21</f>
        <v>1600</v>
      </c>
      <c r="E29" s="91"/>
    </row>
    <row r="30" spans="1:5" x14ac:dyDescent="0.25">
      <c r="A30" s="152" t="s">
        <v>60</v>
      </c>
      <c r="B30" s="117" t="str">
        <f>LOOKUP(A30,'CATALOGO DE CUENTAS'!A9:A73,'CATALOGO DE CUENTAS'!B9:B73)</f>
        <v>Banorte Cta. 5505</v>
      </c>
      <c r="C30" s="74" t="s">
        <v>335</v>
      </c>
      <c r="D30" s="102"/>
      <c r="E30" s="103">
        <f>+'ESQUEMAS DE MAYOR'!G5</f>
        <v>11600</v>
      </c>
    </row>
    <row r="31" spans="1:5" x14ac:dyDescent="0.25">
      <c r="A31" s="95"/>
      <c r="B31" s="88"/>
      <c r="C31" s="94"/>
      <c r="D31" s="90"/>
      <c r="E31" s="91"/>
    </row>
    <row r="32" spans="1:5" x14ac:dyDescent="0.25">
      <c r="A32" s="113"/>
      <c r="B32" s="101"/>
      <c r="C32" s="74"/>
      <c r="D32" s="102"/>
      <c r="E32" s="103"/>
    </row>
    <row r="33" spans="1:5" x14ac:dyDescent="0.25">
      <c r="A33" s="95"/>
      <c r="B33" s="88"/>
      <c r="C33" s="94"/>
      <c r="D33" s="90"/>
      <c r="E33" s="91"/>
    </row>
    <row r="34" spans="1:5" ht="15.75" thickBot="1" x14ac:dyDescent="0.3">
      <c r="A34" s="114"/>
      <c r="B34" s="105"/>
      <c r="C34" s="115"/>
      <c r="D34" s="106"/>
      <c r="E34" s="107"/>
    </row>
    <row r="35" spans="1:5" ht="15.75" thickBot="1" x14ac:dyDescent="0.3">
      <c r="A35" t="s">
        <v>130</v>
      </c>
      <c r="B35" s="3"/>
      <c r="C35" s="4"/>
      <c r="D35" s="60">
        <f>SUM(D28:D34)</f>
        <v>11600</v>
      </c>
      <c r="E35" s="92">
        <f>SUM(E28:E34)</f>
        <v>11600</v>
      </c>
    </row>
    <row r="37" spans="1:5" ht="15.75" thickBot="1" x14ac:dyDescent="0.3"/>
    <row r="38" spans="1:5" ht="15.75" thickBot="1" x14ac:dyDescent="0.3">
      <c r="A38" s="46" t="s">
        <v>165</v>
      </c>
    </row>
    <row r="39" spans="1:5" x14ac:dyDescent="0.25">
      <c r="A39" s="151" t="s">
        <v>52</v>
      </c>
      <c r="B39" s="159" t="s">
        <v>53</v>
      </c>
      <c r="C39" s="85" t="s">
        <v>127</v>
      </c>
      <c r="D39" s="85" t="s">
        <v>128</v>
      </c>
      <c r="E39" s="86" t="s">
        <v>129</v>
      </c>
    </row>
    <row r="40" spans="1:5" x14ac:dyDescent="0.25">
      <c r="A40" s="152" t="s">
        <v>70</v>
      </c>
      <c r="B40" s="152" t="str">
        <f>LOOKUP(A40,'CATALOGO DE CUENTAS'!A7:A71,'CATALOGO DE CUENTAS'!B7:B71)</f>
        <v>Producto A</v>
      </c>
      <c r="C40" s="112" t="s">
        <v>343</v>
      </c>
      <c r="D40" s="99">
        <f>+'ESQUEMAS DE MAYOR'!N6</f>
        <v>5400</v>
      </c>
      <c r="E40" s="100"/>
    </row>
    <row r="41" spans="1:5" x14ac:dyDescent="0.25">
      <c r="A41" s="152" t="s">
        <v>72</v>
      </c>
      <c r="B41" s="152">
        <f>LOOKUP(A41,'CATALOGO DE CUENTAS'!A8:A72,'CATALOGO DE CUENTAS'!B8:B72)</f>
        <v>0.16</v>
      </c>
      <c r="C41" s="94" t="s">
        <v>343</v>
      </c>
      <c r="D41" s="90">
        <f>+'ESQUEMAS DE MAYOR'!N22</f>
        <v>838.08</v>
      </c>
      <c r="E41" s="91"/>
    </row>
    <row r="42" spans="1:5" x14ac:dyDescent="0.25">
      <c r="A42" s="152" t="s">
        <v>60</v>
      </c>
      <c r="B42" s="152" t="str">
        <f>LOOKUP(A42,'CATALOGO DE CUENTAS'!A9:A73,'CATALOGO DE CUENTAS'!B9:B73)</f>
        <v>Banorte Cta. 5505</v>
      </c>
      <c r="C42" s="74" t="s">
        <v>343</v>
      </c>
      <c r="D42" s="102"/>
      <c r="E42" s="103">
        <f>+'ESQUEMAS DE MAYOR'!G6</f>
        <v>6076.08</v>
      </c>
    </row>
    <row r="43" spans="1:5" x14ac:dyDescent="0.25">
      <c r="A43" s="152" t="s">
        <v>70</v>
      </c>
      <c r="B43" s="152" t="str">
        <f>LOOKUP(A43,'CATALOGO DE CUENTAS'!A10:A74,'CATALOGO DE CUENTAS'!B10:B74)</f>
        <v>Producto A</v>
      </c>
      <c r="C43" s="94" t="s">
        <v>343</v>
      </c>
      <c r="D43" s="90"/>
      <c r="E43" s="91">
        <f>+'ESQUEMAS DE MAYOR'!O6</f>
        <v>162</v>
      </c>
    </row>
    <row r="44" spans="1:5" x14ac:dyDescent="0.25">
      <c r="A44" s="113"/>
      <c r="B44" s="101"/>
      <c r="C44" s="74"/>
      <c r="D44" s="102"/>
      <c r="E44" s="103"/>
    </row>
    <row r="45" spans="1:5" x14ac:dyDescent="0.25">
      <c r="A45" s="95"/>
      <c r="B45" s="88"/>
      <c r="C45" s="94"/>
      <c r="D45" s="90"/>
      <c r="E45" s="91"/>
    </row>
    <row r="46" spans="1:5" ht="15.75" thickBot="1" x14ac:dyDescent="0.3">
      <c r="A46" s="114"/>
      <c r="B46" s="105"/>
      <c r="C46" s="115"/>
      <c r="D46" s="106"/>
      <c r="E46" s="107"/>
    </row>
    <row r="47" spans="1:5" ht="15.75" thickBot="1" x14ac:dyDescent="0.3">
      <c r="A47" t="s">
        <v>130</v>
      </c>
      <c r="B47" s="3"/>
      <c r="C47" s="4"/>
      <c r="D47" s="156">
        <f>SUM(D40:D46)</f>
        <v>6238.08</v>
      </c>
      <c r="E47" s="158">
        <f>SUM(E40:E46)</f>
        <v>6238.08</v>
      </c>
    </row>
  </sheetData>
  <dataValidations count="1">
    <dataValidation type="list" allowBlank="1" showInputMessage="1" showErrorMessage="1" sqref="A18:A20 A31:A33 A44:A45">
      <formula1>$A$7:$A$23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'CATALOGO DE CUENTAS'!$A$7:$A$64</xm:f>
          </x14:formula1>
          <xm:sqref>A4:A8</xm:sqref>
        </x14:dataValidation>
        <x14:dataValidation type="list" allowBlank="1" showInputMessage="1" showErrorMessage="1">
          <x14:formula1>
            <xm:f>'CATALOGO DE CUENTAS'!$A$7:$A$71</xm:f>
          </x14:formula1>
          <xm:sqref>A3 A15:A17 A28:A30 A40:A43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Normal="100" workbookViewId="0">
      <selection activeCell="C33" sqref="C33"/>
    </sheetView>
  </sheetViews>
  <sheetFormatPr baseColWidth="10" defaultRowHeight="15" x14ac:dyDescent="0.25"/>
  <cols>
    <col min="2" max="2" width="19.42578125" bestFit="1" customWidth="1"/>
    <col min="3" max="3" width="32.28515625" bestFit="1" customWidth="1"/>
    <col min="4" max="5" width="12.5703125" bestFit="1" customWidth="1"/>
  </cols>
  <sheetData>
    <row r="1" spans="1:5" ht="15.75" thickBot="1" x14ac:dyDescent="0.3">
      <c r="A1" s="46" t="s">
        <v>135</v>
      </c>
    </row>
    <row r="2" spans="1:5" x14ac:dyDescent="0.25">
      <c r="A2" s="39" t="s">
        <v>52</v>
      </c>
      <c r="B2" s="43" t="s">
        <v>53</v>
      </c>
      <c r="C2" s="40" t="s">
        <v>127</v>
      </c>
      <c r="D2" s="43" t="s">
        <v>128</v>
      </c>
      <c r="E2" s="82" t="s">
        <v>129</v>
      </c>
    </row>
    <row r="3" spans="1:5" x14ac:dyDescent="0.25">
      <c r="A3" s="42" t="s">
        <v>56</v>
      </c>
      <c r="B3" s="41" t="str">
        <f>LOOKUP(A3,'CATALOGO DE CUENTAS'!A7:A71,'CATALOGO DE CUENTAS'!B7:B71)</f>
        <v>Caja chica</v>
      </c>
      <c r="C3" s="34" t="s">
        <v>325</v>
      </c>
      <c r="D3" s="54">
        <f>+'ESQUEMAS DE MAYOR'!B3</f>
        <v>5000</v>
      </c>
      <c r="E3" s="55"/>
    </row>
    <row r="4" spans="1:5" x14ac:dyDescent="0.25">
      <c r="A4" s="42" t="s">
        <v>60</v>
      </c>
      <c r="B4" s="41" t="str">
        <f>LOOKUP(A4,'CATALOGO DE CUENTAS'!A8:A72,'CATALOGO DE CUENTAS'!B8:B72)</f>
        <v>Banorte Cta. 5505</v>
      </c>
      <c r="C4" s="35" t="s">
        <v>325</v>
      </c>
      <c r="D4" s="56">
        <f>+'ESQUEMAS DE MAYOR'!F3</f>
        <v>50000</v>
      </c>
      <c r="E4" s="57"/>
    </row>
    <row r="5" spans="1:5" x14ac:dyDescent="0.25">
      <c r="A5" s="42" t="s">
        <v>281</v>
      </c>
      <c r="B5" s="41" t="str">
        <f>LOOKUP(A5,'CATALOGO DE CUENTAS'!A9:A73,'CATALOGO DE CUENTAS'!B9:B73)</f>
        <v>Cuenta puente</v>
      </c>
      <c r="C5" s="35" t="s">
        <v>325</v>
      </c>
      <c r="D5" s="56"/>
      <c r="E5" s="57">
        <f>+'ESQUEMAS DE MAYOR'!K40</f>
        <v>55000</v>
      </c>
    </row>
    <row r="6" spans="1:5" x14ac:dyDescent="0.25">
      <c r="A6" s="42"/>
      <c r="B6" s="62"/>
      <c r="C6" s="35"/>
      <c r="D6" s="56"/>
      <c r="E6" s="57"/>
    </row>
    <row r="7" spans="1:5" x14ac:dyDescent="0.25">
      <c r="A7" s="42"/>
      <c r="B7" s="62"/>
      <c r="C7" s="35"/>
      <c r="D7" s="56"/>
      <c r="E7" s="57"/>
    </row>
    <row r="8" spans="1:5" ht="15.75" thickBot="1" x14ac:dyDescent="0.3">
      <c r="A8" s="61"/>
      <c r="B8" s="36"/>
      <c r="C8" s="36"/>
      <c r="D8" s="58"/>
      <c r="E8" s="59"/>
    </row>
    <row r="9" spans="1:5" ht="15.75" thickBot="1" x14ac:dyDescent="0.3">
      <c r="A9" t="s">
        <v>130</v>
      </c>
      <c r="C9" s="38"/>
      <c r="D9" s="60">
        <f>SUM(D3:D8)</f>
        <v>55000</v>
      </c>
      <c r="E9" s="60">
        <f>SUM(E3:E8)</f>
        <v>55000</v>
      </c>
    </row>
    <row r="11" spans="1:5" ht="15.75" thickBot="1" x14ac:dyDescent="0.3"/>
    <row r="12" spans="1:5" ht="15.75" thickBot="1" x14ac:dyDescent="0.3">
      <c r="A12" s="46" t="s">
        <v>135</v>
      </c>
    </row>
    <row r="13" spans="1:5" x14ac:dyDescent="0.25">
      <c r="A13" s="39" t="s">
        <v>52</v>
      </c>
      <c r="B13" s="43" t="s">
        <v>53</v>
      </c>
      <c r="C13" s="40" t="s">
        <v>127</v>
      </c>
      <c r="D13" s="43" t="s">
        <v>128</v>
      </c>
      <c r="E13" s="82" t="s">
        <v>129</v>
      </c>
    </row>
    <row r="14" spans="1:5" x14ac:dyDescent="0.25">
      <c r="A14" s="42" t="s">
        <v>60</v>
      </c>
      <c r="B14" s="41" t="str">
        <f>LOOKUP(A14,'CATALOGO DE CUENTAS'!A7:A71,'CATALOGO DE CUENTAS'!B7:B71)</f>
        <v>Banorte Cta. 5505</v>
      </c>
      <c r="C14" s="34" t="s">
        <v>339</v>
      </c>
      <c r="D14" s="54">
        <f>+'ESQUEMAS DE MAYOR'!F4</f>
        <v>22200</v>
      </c>
      <c r="E14" s="55"/>
    </row>
    <row r="15" spans="1:5" x14ac:dyDescent="0.25">
      <c r="A15" s="42" t="s">
        <v>88</v>
      </c>
      <c r="B15" s="41">
        <f>LOOKUP(A15,'CATALOGO DE CUENTAS'!A8:A72,'CATALOGO DE CUENTAS'!B8:B72)</f>
        <v>0.16</v>
      </c>
      <c r="C15" s="35" t="s">
        <v>339</v>
      </c>
      <c r="D15" s="154">
        <f>+'ESQUEMAS DE MAYOR'!J19</f>
        <v>3062.0689655172418</v>
      </c>
      <c r="E15" s="57"/>
    </row>
    <row r="16" spans="1:5" x14ac:dyDescent="0.25">
      <c r="A16" s="42" t="s">
        <v>86</v>
      </c>
      <c r="B16" s="41">
        <f>LOOKUP(A16,'CATALOGO DE CUENTAS'!A7:A71,'CATALOGO DE CUENTAS'!B7:B71)</f>
        <v>0.16</v>
      </c>
      <c r="C16" s="35" t="s">
        <v>339</v>
      </c>
      <c r="D16" s="56"/>
      <c r="E16" s="155">
        <f>+'ESQUEMAS DE MAYOR'!G19</f>
        <v>3062.0689655172418</v>
      </c>
    </row>
    <row r="17" spans="1:5" x14ac:dyDescent="0.25">
      <c r="A17" s="42" t="s">
        <v>66</v>
      </c>
      <c r="B17" s="41" t="str">
        <f>LOOKUP(A17,'CATALOGO DE CUENTAS'!A8:A72,'CATALOGO DE CUENTAS'!B8:B72)</f>
        <v>Diana Gaitan</v>
      </c>
      <c r="C17" s="35" t="s">
        <v>339</v>
      </c>
      <c r="D17" s="56"/>
      <c r="E17" s="57">
        <f>+'ESQUEMAS DE MAYOR'!K26</f>
        <v>22200</v>
      </c>
    </row>
    <row r="18" spans="1:5" x14ac:dyDescent="0.25">
      <c r="A18" s="42"/>
      <c r="B18" s="62"/>
      <c r="C18" s="35"/>
      <c r="D18" s="56"/>
      <c r="E18" s="57"/>
    </row>
    <row r="19" spans="1:5" ht="15.75" thickBot="1" x14ac:dyDescent="0.3">
      <c r="A19" s="61"/>
      <c r="B19" s="36"/>
      <c r="C19" s="36"/>
      <c r="D19" s="58"/>
      <c r="E19" s="59"/>
    </row>
    <row r="20" spans="1:5" ht="15.75" thickBot="1" x14ac:dyDescent="0.3">
      <c r="A20" t="s">
        <v>130</v>
      </c>
      <c r="C20" s="38"/>
      <c r="D20" s="156">
        <f>SUM(D14:D19)</f>
        <v>25262.068965517243</v>
      </c>
      <c r="E20" s="156">
        <f>SUM(E14:E19)</f>
        <v>25262.068965517243</v>
      </c>
    </row>
    <row r="22" spans="1:5" ht="15.75" thickBot="1" x14ac:dyDescent="0.3"/>
    <row r="23" spans="1:5" ht="15.75" thickBot="1" x14ac:dyDescent="0.3">
      <c r="A23" s="46" t="s">
        <v>135</v>
      </c>
    </row>
    <row r="24" spans="1:5" x14ac:dyDescent="0.25">
      <c r="A24" s="39" t="s">
        <v>52</v>
      </c>
      <c r="B24" s="43" t="s">
        <v>53</v>
      </c>
      <c r="C24" s="40" t="s">
        <v>127</v>
      </c>
      <c r="D24" s="43" t="s">
        <v>128</v>
      </c>
      <c r="E24" s="82" t="s">
        <v>129</v>
      </c>
    </row>
    <row r="25" spans="1:5" x14ac:dyDescent="0.25">
      <c r="A25" s="42" t="s">
        <v>60</v>
      </c>
      <c r="B25" s="41" t="str">
        <f>LOOKUP(A25,'CATALOGO DE CUENTAS'!A7:A71,'CATALOGO DE CUENTAS'!B7:B71)</f>
        <v>Banorte Cta. 5505</v>
      </c>
      <c r="C25" s="34" t="s">
        <v>351</v>
      </c>
      <c r="D25" s="168">
        <f>+'ESQUEMAS DE MAYOR'!F5</f>
        <v>26373.760000000002</v>
      </c>
      <c r="E25" s="55"/>
    </row>
    <row r="26" spans="1:5" x14ac:dyDescent="0.25">
      <c r="A26" s="42" t="s">
        <v>96</v>
      </c>
      <c r="B26" s="41">
        <f>LOOKUP(A26,'CATALOGO DE CUENTAS'!A8:A72,'CATALOGO DE CUENTAS'!B8:B72)</f>
        <v>0.16</v>
      </c>
      <c r="C26" s="35" t="s">
        <v>351</v>
      </c>
      <c r="D26" s="154">
        <f>+'ESQUEMAS DE MAYOR'!B20</f>
        <v>464</v>
      </c>
      <c r="E26" s="57"/>
    </row>
    <row r="27" spans="1:5" x14ac:dyDescent="0.25">
      <c r="A27" s="42" t="s">
        <v>70</v>
      </c>
      <c r="B27" s="41" t="str">
        <f>LOOKUP(A27,'CATALOGO DE CUENTAS'!A9:A73,'CATALOGO DE CUENTAS'!B9:B73)</f>
        <v>Producto A</v>
      </c>
      <c r="C27" s="35" t="s">
        <v>351</v>
      </c>
      <c r="D27" s="56"/>
      <c r="E27" s="155">
        <f>+'ESQUEMAS DE MAYOR'!C20</f>
        <v>23200</v>
      </c>
    </row>
    <row r="28" spans="1:5" x14ac:dyDescent="0.25">
      <c r="A28" s="42" t="s">
        <v>86</v>
      </c>
      <c r="B28" s="41">
        <f>LOOKUP(A28,'CATALOGO DE CUENTAS'!A10:A74,'CATALOGO DE CUENTAS'!B10:B74)</f>
        <v>0.16</v>
      </c>
      <c r="C28" s="35" t="s">
        <v>351</v>
      </c>
      <c r="D28" s="56"/>
      <c r="E28" s="155">
        <f>+'ESQUEMAS DE MAYOR'!G20</f>
        <v>3637.76</v>
      </c>
    </row>
    <row r="29" spans="1:5" x14ac:dyDescent="0.25">
      <c r="A29" s="42">
        <v>5101</v>
      </c>
      <c r="B29" s="41" t="str">
        <f>LOOKUP(A29,'CATALOGO DE CUENTAS'!A7:A71,'CATALOGO DE CUENTAS'!B7:B71)</f>
        <v>COSTO DE VENTA</v>
      </c>
      <c r="C29" s="35" t="s">
        <v>351</v>
      </c>
      <c r="D29" s="154">
        <f>+'ESQUEMAS DE MAYOR'!B27</f>
        <v>6078.8571428571431</v>
      </c>
      <c r="E29" s="57"/>
    </row>
    <row r="30" spans="1:5" x14ac:dyDescent="0.25">
      <c r="A30" s="42" t="s">
        <v>70</v>
      </c>
      <c r="B30" s="41" t="str">
        <f>LOOKUP(A30,'CATALOGO DE CUENTAS'!A7:A71,'CATALOGO DE CUENTAS'!B7:B71)</f>
        <v>Producto A</v>
      </c>
      <c r="C30" s="35" t="s">
        <v>351</v>
      </c>
      <c r="D30" s="56"/>
      <c r="E30" s="155">
        <f>+'ESQUEMAS DE MAYOR'!O7</f>
        <v>6078.8571428571431</v>
      </c>
    </row>
    <row r="31" spans="1:5" ht="15.75" thickBot="1" x14ac:dyDescent="0.3">
      <c r="A31" s="61"/>
      <c r="B31" s="36"/>
      <c r="C31" s="36"/>
      <c r="D31" s="58"/>
      <c r="E31" s="59"/>
    </row>
    <row r="32" spans="1:5" ht="15.75" thickBot="1" x14ac:dyDescent="0.3">
      <c r="A32" t="s">
        <v>130</v>
      </c>
      <c r="C32" s="38"/>
      <c r="D32" s="156">
        <f>SUM(D25:D31)</f>
        <v>32916.617142857147</v>
      </c>
      <c r="E32" s="156">
        <f>SUM(E25:E31)</f>
        <v>32916.617142857147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'CATALOGO DE CUENTAS'!$A$7:$A$64</xm:f>
          </x14:formula1>
          <xm:sqref>A4:A7 A18</xm:sqref>
        </x14:dataValidation>
        <x14:dataValidation type="list" allowBlank="1" showInputMessage="1" showErrorMessage="1">
          <x14:formula1>
            <xm:f>'CATALOGO DE CUENTAS'!$A$7:$A$71</xm:f>
          </x14:formula1>
          <xm:sqref>A3 A14:A17 A25:A30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A14" sqref="A14"/>
    </sheetView>
  </sheetViews>
  <sheetFormatPr baseColWidth="10" defaultRowHeight="15" x14ac:dyDescent="0.25"/>
  <cols>
    <col min="1" max="1" width="23.140625" bestFit="1" customWidth="1"/>
    <col min="2" max="2" width="27.5703125" bestFit="1" customWidth="1"/>
  </cols>
  <sheetData>
    <row r="1" spans="1:5" ht="18.75" x14ac:dyDescent="0.3">
      <c r="A1" s="209" t="s">
        <v>2</v>
      </c>
      <c r="B1" s="209"/>
    </row>
    <row r="2" spans="1:5" ht="18.75" x14ac:dyDescent="0.3">
      <c r="A2" s="209" t="s">
        <v>4</v>
      </c>
      <c r="B2" s="209"/>
    </row>
    <row r="3" spans="1:5" ht="18.75" x14ac:dyDescent="0.3">
      <c r="A3" s="209" t="s">
        <v>5</v>
      </c>
      <c r="B3" s="209"/>
    </row>
    <row r="4" spans="1:5" ht="18.75" x14ac:dyDescent="0.3">
      <c r="A4" s="209" t="s">
        <v>6</v>
      </c>
      <c r="B4" s="209"/>
    </row>
    <row r="6" spans="1:5" x14ac:dyDescent="0.25">
      <c r="A6" s="37" t="s">
        <v>52</v>
      </c>
      <c r="B6" s="37" t="s">
        <v>53</v>
      </c>
      <c r="C6" s="37" t="s">
        <v>61</v>
      </c>
      <c r="D6" s="37" t="s">
        <v>54</v>
      </c>
    </row>
    <row r="7" spans="1:5" x14ac:dyDescent="0.25">
      <c r="A7" s="37">
        <v>1101</v>
      </c>
      <c r="B7" s="37" t="s">
        <v>55</v>
      </c>
      <c r="C7" s="37" t="s">
        <v>62</v>
      </c>
      <c r="D7" s="37" t="s">
        <v>64</v>
      </c>
      <c r="E7" s="37"/>
    </row>
    <row r="8" spans="1:5" x14ac:dyDescent="0.25">
      <c r="A8" s="37" t="s">
        <v>56</v>
      </c>
      <c r="B8" s="37" t="s">
        <v>57</v>
      </c>
      <c r="C8" s="37" t="s">
        <v>63</v>
      </c>
      <c r="D8" s="37"/>
    </row>
    <row r="9" spans="1:5" x14ac:dyDescent="0.25">
      <c r="A9" s="37">
        <v>1102</v>
      </c>
      <c r="B9" s="37" t="s">
        <v>58</v>
      </c>
      <c r="C9" s="37" t="s">
        <v>62</v>
      </c>
      <c r="D9" s="37" t="s">
        <v>64</v>
      </c>
    </row>
    <row r="10" spans="1:5" x14ac:dyDescent="0.25">
      <c r="A10" s="37" t="s">
        <v>60</v>
      </c>
      <c r="B10" s="37" t="s">
        <v>59</v>
      </c>
      <c r="C10" s="37" t="s">
        <v>63</v>
      </c>
      <c r="D10" s="37"/>
    </row>
    <row r="11" spans="1:5" x14ac:dyDescent="0.25">
      <c r="A11" s="37">
        <v>1103</v>
      </c>
      <c r="B11" s="37" t="s">
        <v>65</v>
      </c>
      <c r="C11" s="37" t="s">
        <v>62</v>
      </c>
      <c r="D11" s="37" t="s">
        <v>64</v>
      </c>
    </row>
    <row r="12" spans="1:5" x14ac:dyDescent="0.25">
      <c r="A12" s="37" t="s">
        <v>66</v>
      </c>
      <c r="B12" s="37" t="s">
        <v>67</v>
      </c>
      <c r="C12" s="37" t="s">
        <v>63</v>
      </c>
      <c r="D12" s="37"/>
    </row>
    <row r="13" spans="1:5" x14ac:dyDescent="0.25">
      <c r="A13" s="37">
        <v>1104</v>
      </c>
      <c r="B13" s="37" t="s">
        <v>68</v>
      </c>
      <c r="C13" s="37" t="s">
        <v>62</v>
      </c>
      <c r="D13" s="37" t="s">
        <v>64</v>
      </c>
    </row>
    <row r="14" spans="1:5" x14ac:dyDescent="0.25">
      <c r="A14" s="37" t="s">
        <v>70</v>
      </c>
      <c r="B14" s="37" t="s">
        <v>280</v>
      </c>
      <c r="C14" s="37" t="s">
        <v>63</v>
      </c>
      <c r="D14" s="37"/>
    </row>
    <row r="15" spans="1:5" x14ac:dyDescent="0.25">
      <c r="A15" s="37">
        <v>1105</v>
      </c>
      <c r="B15" s="37" t="s">
        <v>71</v>
      </c>
      <c r="C15" s="37" t="s">
        <v>62</v>
      </c>
      <c r="D15" s="37" t="s">
        <v>64</v>
      </c>
    </row>
    <row r="16" spans="1:5" x14ac:dyDescent="0.25">
      <c r="A16" s="37" t="s">
        <v>72</v>
      </c>
      <c r="B16" s="44">
        <v>0.16</v>
      </c>
      <c r="C16" s="37" t="s">
        <v>63</v>
      </c>
      <c r="D16" s="37"/>
    </row>
    <row r="17" spans="1:4" x14ac:dyDescent="0.25">
      <c r="A17" s="37">
        <v>1106</v>
      </c>
      <c r="B17" s="37" t="s">
        <v>73</v>
      </c>
      <c r="C17" s="37" t="s">
        <v>62</v>
      </c>
      <c r="D17" s="37" t="s">
        <v>64</v>
      </c>
    </row>
    <row r="18" spans="1:4" x14ac:dyDescent="0.25">
      <c r="A18" s="37" t="s">
        <v>74</v>
      </c>
      <c r="B18" s="44">
        <v>0.16</v>
      </c>
      <c r="C18" s="37" t="s">
        <v>63</v>
      </c>
      <c r="D18" s="37"/>
    </row>
    <row r="19" spans="1:4" x14ac:dyDescent="0.25">
      <c r="A19" s="149">
        <v>1107</v>
      </c>
      <c r="B19" s="44" t="s">
        <v>282</v>
      </c>
      <c r="C19" s="149" t="s">
        <v>62</v>
      </c>
      <c r="D19" s="149" t="s">
        <v>64</v>
      </c>
    </row>
    <row r="20" spans="1:4" x14ac:dyDescent="0.25">
      <c r="A20" s="149" t="s">
        <v>281</v>
      </c>
      <c r="B20" s="44" t="s">
        <v>283</v>
      </c>
      <c r="C20" s="149" t="s">
        <v>63</v>
      </c>
      <c r="D20" s="149"/>
    </row>
    <row r="21" spans="1:4" x14ac:dyDescent="0.25">
      <c r="A21" s="37">
        <v>1108</v>
      </c>
      <c r="B21" s="37" t="s">
        <v>75</v>
      </c>
      <c r="C21" s="37" t="s">
        <v>62</v>
      </c>
      <c r="D21" s="37" t="s">
        <v>64</v>
      </c>
    </row>
    <row r="22" spans="1:4" x14ac:dyDescent="0.25">
      <c r="A22" s="37" t="s">
        <v>76</v>
      </c>
      <c r="B22" s="44" t="s">
        <v>77</v>
      </c>
      <c r="C22" s="37" t="s">
        <v>63</v>
      </c>
      <c r="D22" s="37"/>
    </row>
    <row r="23" spans="1:4" x14ac:dyDescent="0.25">
      <c r="A23" s="149">
        <v>1109</v>
      </c>
      <c r="B23" s="44" t="s">
        <v>284</v>
      </c>
      <c r="C23" s="149" t="s">
        <v>62</v>
      </c>
      <c r="D23" s="149" t="s">
        <v>64</v>
      </c>
    </row>
    <row r="24" spans="1:4" x14ac:dyDescent="0.25">
      <c r="A24" s="149" t="s">
        <v>285</v>
      </c>
      <c r="B24" s="44" t="s">
        <v>286</v>
      </c>
      <c r="C24" s="149" t="s">
        <v>63</v>
      </c>
      <c r="D24" s="149"/>
    </row>
    <row r="25" spans="1:4" x14ac:dyDescent="0.25">
      <c r="A25" s="149">
        <v>1110</v>
      </c>
      <c r="B25" s="44" t="s">
        <v>288</v>
      </c>
      <c r="C25" s="149" t="s">
        <v>62</v>
      </c>
      <c r="D25" s="149" t="s">
        <v>64</v>
      </c>
    </row>
    <row r="26" spans="1:4" x14ac:dyDescent="0.25">
      <c r="A26" s="149" t="s">
        <v>287</v>
      </c>
      <c r="B26" s="44" t="s">
        <v>289</v>
      </c>
      <c r="C26" s="149" t="s">
        <v>63</v>
      </c>
      <c r="D26" s="149"/>
    </row>
    <row r="27" spans="1:4" x14ac:dyDescent="0.25">
      <c r="A27" s="149">
        <v>1111</v>
      </c>
      <c r="B27" s="44" t="s">
        <v>313</v>
      </c>
      <c r="C27" s="149" t="s">
        <v>62</v>
      </c>
      <c r="D27" s="149" t="s">
        <v>64</v>
      </c>
    </row>
    <row r="28" spans="1:4" x14ac:dyDescent="0.25">
      <c r="A28" s="149" t="s">
        <v>312</v>
      </c>
      <c r="B28" s="44" t="s">
        <v>314</v>
      </c>
      <c r="C28" s="149" t="s">
        <v>63</v>
      </c>
      <c r="D28" s="149"/>
    </row>
    <row r="29" spans="1:4" x14ac:dyDescent="0.25">
      <c r="A29" s="149">
        <v>1112</v>
      </c>
      <c r="B29" s="44" t="s">
        <v>316</v>
      </c>
      <c r="C29" s="149" t="s">
        <v>62</v>
      </c>
      <c r="D29" s="149" t="s">
        <v>64</v>
      </c>
    </row>
    <row r="30" spans="1:4" x14ac:dyDescent="0.25">
      <c r="A30" s="149" t="s">
        <v>315</v>
      </c>
      <c r="B30" s="44" t="s">
        <v>317</v>
      </c>
      <c r="C30" s="149" t="s">
        <v>63</v>
      </c>
      <c r="D30" s="149"/>
    </row>
    <row r="31" spans="1:4" x14ac:dyDescent="0.25">
      <c r="A31" s="37">
        <v>1201</v>
      </c>
      <c r="B31" s="37" t="s">
        <v>290</v>
      </c>
      <c r="C31" s="37" t="s">
        <v>62</v>
      </c>
      <c r="D31" s="37" t="s">
        <v>78</v>
      </c>
    </row>
    <row r="32" spans="1:4" x14ac:dyDescent="0.25">
      <c r="A32" s="37" t="s">
        <v>79</v>
      </c>
      <c r="B32" s="44" t="s">
        <v>291</v>
      </c>
      <c r="C32" s="37" t="s">
        <v>63</v>
      </c>
      <c r="D32" s="37"/>
    </row>
    <row r="33" spans="1:4" x14ac:dyDescent="0.25">
      <c r="A33" s="37">
        <v>1202</v>
      </c>
      <c r="B33" s="37" t="s">
        <v>292</v>
      </c>
      <c r="C33" s="37" t="s">
        <v>62</v>
      </c>
      <c r="D33" s="37" t="s">
        <v>78</v>
      </c>
    </row>
    <row r="34" spans="1:4" x14ac:dyDescent="0.25">
      <c r="A34" s="37" t="s">
        <v>80</v>
      </c>
      <c r="B34" s="44" t="s">
        <v>293</v>
      </c>
      <c r="C34" s="37" t="s">
        <v>63</v>
      </c>
      <c r="D34" s="37"/>
    </row>
    <row r="35" spans="1:4" x14ac:dyDescent="0.25">
      <c r="A35" s="149">
        <v>1203</v>
      </c>
      <c r="B35" s="44" t="s">
        <v>305</v>
      </c>
      <c r="C35" s="149" t="s">
        <v>62</v>
      </c>
      <c r="D35" s="149" t="s">
        <v>78</v>
      </c>
    </row>
    <row r="36" spans="1:4" x14ac:dyDescent="0.25">
      <c r="A36" s="149" t="s">
        <v>138</v>
      </c>
      <c r="B36" s="44" t="s">
        <v>306</v>
      </c>
      <c r="C36" s="149" t="s">
        <v>63</v>
      </c>
      <c r="D36" s="149"/>
    </row>
    <row r="37" spans="1:4" x14ac:dyDescent="0.25">
      <c r="A37" s="149">
        <v>1204</v>
      </c>
      <c r="B37" s="44" t="s">
        <v>308</v>
      </c>
      <c r="C37" s="149" t="s">
        <v>62</v>
      </c>
      <c r="D37" s="149" t="s">
        <v>78</v>
      </c>
    </row>
    <row r="38" spans="1:4" x14ac:dyDescent="0.25">
      <c r="A38" s="149" t="s">
        <v>307</v>
      </c>
      <c r="B38" s="44" t="s">
        <v>309</v>
      </c>
      <c r="C38" s="149" t="s">
        <v>63</v>
      </c>
      <c r="D38" s="149"/>
    </row>
    <row r="39" spans="1:4" x14ac:dyDescent="0.25">
      <c r="A39" s="37">
        <v>2101</v>
      </c>
      <c r="B39" s="37" t="s">
        <v>81</v>
      </c>
      <c r="C39" s="37" t="s">
        <v>62</v>
      </c>
      <c r="D39" s="37" t="s">
        <v>84</v>
      </c>
    </row>
    <row r="40" spans="1:4" x14ac:dyDescent="0.25">
      <c r="A40" s="37" t="s">
        <v>82</v>
      </c>
      <c r="B40" s="44" t="s">
        <v>83</v>
      </c>
      <c r="C40" s="37" t="s">
        <v>63</v>
      </c>
      <c r="D40" s="37"/>
    </row>
    <row r="41" spans="1:4" x14ac:dyDescent="0.25">
      <c r="A41" s="37">
        <v>2102</v>
      </c>
      <c r="B41" s="37" t="s">
        <v>85</v>
      </c>
      <c r="C41" s="37" t="s">
        <v>62</v>
      </c>
      <c r="D41" s="37" t="s">
        <v>84</v>
      </c>
    </row>
    <row r="42" spans="1:4" x14ac:dyDescent="0.25">
      <c r="A42" s="37" t="s">
        <v>86</v>
      </c>
      <c r="B42" s="44">
        <v>0.16</v>
      </c>
      <c r="C42" s="37" t="s">
        <v>63</v>
      </c>
      <c r="D42" s="37"/>
    </row>
    <row r="43" spans="1:4" x14ac:dyDescent="0.25">
      <c r="A43" s="37">
        <v>2103</v>
      </c>
      <c r="B43" s="37" t="s">
        <v>89</v>
      </c>
      <c r="C43" s="37" t="s">
        <v>62</v>
      </c>
      <c r="D43" s="37" t="s">
        <v>84</v>
      </c>
    </row>
    <row r="44" spans="1:4" x14ac:dyDescent="0.25">
      <c r="A44" s="37" t="s">
        <v>88</v>
      </c>
      <c r="B44" s="44">
        <v>0.16</v>
      </c>
      <c r="C44" s="37" t="s">
        <v>63</v>
      </c>
      <c r="D44" s="37"/>
    </row>
    <row r="45" spans="1:4" x14ac:dyDescent="0.25">
      <c r="A45" s="37">
        <v>2104</v>
      </c>
      <c r="B45" s="44" t="s">
        <v>107</v>
      </c>
      <c r="C45" s="37" t="s">
        <v>62</v>
      </c>
      <c r="D45" s="37" t="s">
        <v>84</v>
      </c>
    </row>
    <row r="46" spans="1:4" x14ac:dyDescent="0.25">
      <c r="A46" s="37" t="s">
        <v>108</v>
      </c>
      <c r="B46" s="44" t="s">
        <v>109</v>
      </c>
      <c r="C46" s="37" t="s">
        <v>63</v>
      </c>
      <c r="D46" s="37"/>
    </row>
    <row r="47" spans="1:4" x14ac:dyDescent="0.25">
      <c r="A47" s="37" t="s">
        <v>110</v>
      </c>
      <c r="B47" s="44" t="s">
        <v>111</v>
      </c>
      <c r="C47" s="37" t="s">
        <v>63</v>
      </c>
      <c r="D47" s="37"/>
    </row>
    <row r="48" spans="1:4" x14ac:dyDescent="0.25">
      <c r="A48" s="45" t="s">
        <v>178</v>
      </c>
      <c r="B48" s="44" t="s">
        <v>173</v>
      </c>
      <c r="C48" s="45" t="s">
        <v>63</v>
      </c>
      <c r="D48" s="45"/>
    </row>
    <row r="49" spans="1:4" x14ac:dyDescent="0.25">
      <c r="A49" s="149" t="s">
        <v>300</v>
      </c>
      <c r="B49" s="44" t="s">
        <v>301</v>
      </c>
      <c r="C49" s="149" t="s">
        <v>63</v>
      </c>
      <c r="D49" s="149"/>
    </row>
    <row r="50" spans="1:4" x14ac:dyDescent="0.25">
      <c r="A50" s="149">
        <v>2105</v>
      </c>
      <c r="B50" s="44" t="s">
        <v>294</v>
      </c>
      <c r="C50" s="149" t="s">
        <v>62</v>
      </c>
      <c r="D50" s="149" t="s">
        <v>84</v>
      </c>
    </row>
    <row r="51" spans="1:4" x14ac:dyDescent="0.25">
      <c r="A51" s="149" t="s">
        <v>295</v>
      </c>
      <c r="B51" s="44" t="s">
        <v>296</v>
      </c>
      <c r="C51" s="149" t="s">
        <v>63</v>
      </c>
      <c r="D51" s="149"/>
    </row>
    <row r="52" spans="1:4" x14ac:dyDescent="0.25">
      <c r="A52" s="149">
        <v>2106</v>
      </c>
      <c r="B52" s="44" t="s">
        <v>298</v>
      </c>
      <c r="C52" s="149" t="s">
        <v>62</v>
      </c>
      <c r="D52" s="149" t="s">
        <v>84</v>
      </c>
    </row>
    <row r="53" spans="1:4" x14ac:dyDescent="0.25">
      <c r="A53" s="149" t="s">
        <v>297</v>
      </c>
      <c r="B53" s="44" t="s">
        <v>299</v>
      </c>
      <c r="C53" s="149" t="s">
        <v>63</v>
      </c>
      <c r="D53" s="149"/>
    </row>
    <row r="54" spans="1:4" x14ac:dyDescent="0.25">
      <c r="A54" s="37">
        <v>3000</v>
      </c>
      <c r="B54" s="37" t="s">
        <v>90</v>
      </c>
      <c r="C54" s="37" t="s">
        <v>62</v>
      </c>
      <c r="D54" s="37" t="s">
        <v>91</v>
      </c>
    </row>
    <row r="55" spans="1:4" x14ac:dyDescent="0.25">
      <c r="A55" s="37" t="s">
        <v>93</v>
      </c>
      <c r="B55" s="44" t="s">
        <v>92</v>
      </c>
      <c r="C55" s="37" t="s">
        <v>63</v>
      </c>
      <c r="D55" s="37"/>
    </row>
    <row r="56" spans="1:4" x14ac:dyDescent="0.25">
      <c r="A56" s="149">
        <v>3001</v>
      </c>
      <c r="B56" s="44" t="s">
        <v>303</v>
      </c>
      <c r="C56" s="149" t="s">
        <v>62</v>
      </c>
      <c r="D56" s="149" t="s">
        <v>91</v>
      </c>
    </row>
    <row r="57" spans="1:4" x14ac:dyDescent="0.25">
      <c r="A57" s="149" t="s">
        <v>302</v>
      </c>
      <c r="B57" s="44" t="s">
        <v>304</v>
      </c>
      <c r="C57" s="149"/>
      <c r="D57" s="149"/>
    </row>
    <row r="58" spans="1:4" x14ac:dyDescent="0.25">
      <c r="A58" s="37">
        <v>4000</v>
      </c>
      <c r="B58" s="37" t="s">
        <v>94</v>
      </c>
      <c r="C58" s="37" t="s">
        <v>62</v>
      </c>
      <c r="D58" s="37" t="s">
        <v>95</v>
      </c>
    </row>
    <row r="59" spans="1:4" x14ac:dyDescent="0.25">
      <c r="A59" s="37" t="s">
        <v>96</v>
      </c>
      <c r="B59" s="44">
        <v>0.16</v>
      </c>
      <c r="C59" s="37" t="s">
        <v>63</v>
      </c>
      <c r="D59" s="37"/>
    </row>
    <row r="60" spans="1:4" x14ac:dyDescent="0.25">
      <c r="A60" s="37">
        <v>5101</v>
      </c>
      <c r="B60" s="37" t="s">
        <v>98</v>
      </c>
      <c r="C60" s="37" t="s">
        <v>87</v>
      </c>
      <c r="D60" s="37" t="s">
        <v>99</v>
      </c>
    </row>
    <row r="61" spans="1:4" x14ac:dyDescent="0.25">
      <c r="A61" s="37">
        <v>5102</v>
      </c>
      <c r="B61" s="44" t="s">
        <v>100</v>
      </c>
      <c r="C61" s="37" t="s">
        <v>62</v>
      </c>
      <c r="D61" s="37" t="s">
        <v>97</v>
      </c>
    </row>
    <row r="62" spans="1:4" x14ac:dyDescent="0.25">
      <c r="A62" s="37" t="s">
        <v>101</v>
      </c>
      <c r="B62" s="37" t="s">
        <v>102</v>
      </c>
      <c r="C62" s="37" t="s">
        <v>63</v>
      </c>
      <c r="D62" s="37" t="s">
        <v>97</v>
      </c>
    </row>
    <row r="63" spans="1:4" x14ac:dyDescent="0.25">
      <c r="A63" s="37" t="s">
        <v>103</v>
      </c>
      <c r="B63" s="44" t="s">
        <v>104</v>
      </c>
      <c r="C63" s="37" t="s">
        <v>62</v>
      </c>
      <c r="D63" s="37" t="s">
        <v>97</v>
      </c>
    </row>
    <row r="64" spans="1:4" x14ac:dyDescent="0.25">
      <c r="A64" s="37" t="s">
        <v>105</v>
      </c>
      <c r="B64" s="37" t="s">
        <v>106</v>
      </c>
      <c r="C64" s="37" t="s">
        <v>63</v>
      </c>
      <c r="D64" s="37"/>
    </row>
    <row r="65" spans="1:4" x14ac:dyDescent="0.25">
      <c r="A65" s="37" t="s">
        <v>174</v>
      </c>
      <c r="B65" s="37" t="s">
        <v>175</v>
      </c>
      <c r="C65" s="37" t="s">
        <v>62</v>
      </c>
      <c r="D65" s="37" t="s">
        <v>97</v>
      </c>
    </row>
    <row r="66" spans="1:4" x14ac:dyDescent="0.25">
      <c r="A66" s="45" t="s">
        <v>176</v>
      </c>
      <c r="B66" s="45" t="s">
        <v>177</v>
      </c>
      <c r="C66" s="45" t="s">
        <v>63</v>
      </c>
      <c r="D66" s="45"/>
    </row>
    <row r="67" spans="1:4" x14ac:dyDescent="0.25">
      <c r="A67" s="149">
        <v>5103</v>
      </c>
      <c r="B67" s="149" t="s">
        <v>310</v>
      </c>
      <c r="C67" s="149" t="s">
        <v>62</v>
      </c>
      <c r="D67" s="149" t="s">
        <v>311</v>
      </c>
    </row>
    <row r="68" spans="1:4" x14ac:dyDescent="0.25">
      <c r="A68" s="149">
        <v>6000</v>
      </c>
      <c r="B68" s="149" t="s">
        <v>318</v>
      </c>
      <c r="C68" s="149" t="s">
        <v>62</v>
      </c>
      <c r="D68" s="149" t="s">
        <v>319</v>
      </c>
    </row>
    <row r="69" spans="1:4" x14ac:dyDescent="0.25">
      <c r="A69" s="149" t="s">
        <v>320</v>
      </c>
      <c r="B69" s="149" t="s">
        <v>321</v>
      </c>
      <c r="C69" s="149" t="s">
        <v>63</v>
      </c>
    </row>
    <row r="70" spans="1:4" x14ac:dyDescent="0.25">
      <c r="A70" s="149">
        <v>6001</v>
      </c>
      <c r="B70" s="149" t="s">
        <v>322</v>
      </c>
      <c r="C70" s="149" t="s">
        <v>62</v>
      </c>
      <c r="D70" s="149" t="s">
        <v>319</v>
      </c>
    </row>
    <row r="71" spans="1:4" x14ac:dyDescent="0.25">
      <c r="A71" s="149" t="s">
        <v>323</v>
      </c>
      <c r="C71" s="149" t="s">
        <v>63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6"/>
  <sheetViews>
    <sheetView workbookViewId="0">
      <selection activeCell="O14" sqref="O14"/>
    </sheetView>
  </sheetViews>
  <sheetFormatPr baseColWidth="10" defaultRowHeight="15" x14ac:dyDescent="0.25"/>
  <cols>
    <col min="4" max="4" width="11" customWidth="1"/>
    <col min="5" max="5" width="13.28515625" customWidth="1"/>
  </cols>
  <sheetData>
    <row r="2" spans="2:11" x14ac:dyDescent="0.25">
      <c r="B2" s="217" t="s">
        <v>139</v>
      </c>
      <c r="C2" s="217"/>
      <c r="D2" s="217"/>
      <c r="E2" s="217"/>
      <c r="F2" s="217"/>
      <c r="G2" s="217"/>
      <c r="H2" s="70"/>
      <c r="I2" s="210" t="s">
        <v>161</v>
      </c>
      <c r="J2" s="211"/>
      <c r="K2" s="212"/>
    </row>
    <row r="3" spans="2:11" x14ac:dyDescent="0.25">
      <c r="B3" s="210" t="s">
        <v>140</v>
      </c>
      <c r="C3" s="211"/>
      <c r="D3" s="211"/>
      <c r="E3" s="216"/>
      <c r="F3" s="210" t="s">
        <v>145</v>
      </c>
      <c r="G3" s="211"/>
      <c r="H3" s="212"/>
      <c r="I3" s="210" t="s">
        <v>146</v>
      </c>
      <c r="J3" s="211"/>
      <c r="K3" s="212"/>
    </row>
    <row r="4" spans="2:11" x14ac:dyDescent="0.25">
      <c r="B4" s="210" t="s">
        <v>68</v>
      </c>
      <c r="C4" s="211"/>
      <c r="D4" s="216"/>
      <c r="E4" s="223" t="s">
        <v>143</v>
      </c>
      <c r="F4" s="224"/>
      <c r="G4" s="224"/>
      <c r="H4" s="216"/>
      <c r="I4" s="210" t="s">
        <v>144</v>
      </c>
      <c r="J4" s="211"/>
      <c r="K4" s="212"/>
    </row>
    <row r="5" spans="2:11" x14ac:dyDescent="0.25">
      <c r="B5" s="225" t="s">
        <v>141</v>
      </c>
      <c r="C5" s="226"/>
      <c r="D5" s="71" t="s">
        <v>142</v>
      </c>
      <c r="E5" s="221" t="s">
        <v>148</v>
      </c>
      <c r="F5" s="222"/>
      <c r="G5" s="73" t="s">
        <v>149</v>
      </c>
      <c r="H5" s="73" t="s">
        <v>142</v>
      </c>
      <c r="I5" s="73" t="s">
        <v>148</v>
      </c>
      <c r="J5" s="219" t="s">
        <v>149</v>
      </c>
      <c r="K5" s="220"/>
    </row>
    <row r="6" spans="2:11" x14ac:dyDescent="0.25">
      <c r="B6" s="227"/>
      <c r="C6" s="228"/>
      <c r="D6" s="72" t="s">
        <v>147</v>
      </c>
      <c r="E6" s="215"/>
      <c r="F6" s="214"/>
      <c r="G6" s="65"/>
      <c r="H6" s="65" t="s">
        <v>160</v>
      </c>
      <c r="I6" s="65"/>
      <c r="J6" s="213"/>
      <c r="K6" s="214"/>
    </row>
    <row r="7" spans="2:11" x14ac:dyDescent="0.25">
      <c r="B7" s="229" t="s">
        <v>142</v>
      </c>
      <c r="C7" s="231" t="s">
        <v>150</v>
      </c>
      <c r="D7" s="218" t="s">
        <v>151</v>
      </c>
      <c r="E7" s="218"/>
      <c r="F7" s="218"/>
      <c r="G7" s="218" t="s">
        <v>159</v>
      </c>
      <c r="H7" s="218"/>
      <c r="I7" s="218" t="s">
        <v>157</v>
      </c>
      <c r="J7" s="218"/>
      <c r="K7" s="218"/>
    </row>
    <row r="8" spans="2:11" x14ac:dyDescent="0.25">
      <c r="B8" s="230"/>
      <c r="C8" s="232"/>
      <c r="D8" s="63" t="s">
        <v>152</v>
      </c>
      <c r="E8" s="66" t="s">
        <v>153</v>
      </c>
      <c r="F8" s="64" t="s">
        <v>154</v>
      </c>
      <c r="G8" s="63" t="s">
        <v>155</v>
      </c>
      <c r="H8" s="64" t="s">
        <v>156</v>
      </c>
      <c r="I8" s="63" t="s">
        <v>128</v>
      </c>
      <c r="J8" s="66" t="s">
        <v>129</v>
      </c>
      <c r="K8" s="64" t="s">
        <v>158</v>
      </c>
    </row>
    <row r="9" spans="2:11" x14ac:dyDescent="0.25">
      <c r="B9" s="161">
        <v>41791</v>
      </c>
      <c r="C9" s="68" t="s">
        <v>68</v>
      </c>
      <c r="D9" s="162">
        <v>5</v>
      </c>
      <c r="E9" s="163"/>
      <c r="F9" s="68">
        <f>+D9-E9</f>
        <v>5</v>
      </c>
      <c r="G9" s="162">
        <v>1000</v>
      </c>
      <c r="H9" s="77"/>
      <c r="I9" s="162">
        <f>+D9*G9</f>
        <v>5000</v>
      </c>
      <c r="J9" s="165"/>
      <c r="K9" s="77">
        <f>+I9-J9</f>
        <v>5000</v>
      </c>
    </row>
    <row r="10" spans="2:11" s="28" customFormat="1" x14ac:dyDescent="0.25">
      <c r="B10" s="74"/>
      <c r="C10" s="28" t="s">
        <v>170</v>
      </c>
      <c r="D10" s="74">
        <f>+ASIENTOS!B10</f>
        <v>5</v>
      </c>
      <c r="E10" s="75"/>
      <c r="F10" s="28">
        <f>+F9+D10-E10</f>
        <v>10</v>
      </c>
      <c r="G10" s="79">
        <f>+ASIENTOS!D10</f>
        <v>1500</v>
      </c>
      <c r="H10" s="80">
        <f>+K10/F10</f>
        <v>1250</v>
      </c>
      <c r="I10" s="79">
        <f>+G10*D10</f>
        <v>7500</v>
      </c>
      <c r="J10" s="81"/>
      <c r="K10" s="80">
        <f>+K9+I10-J10</f>
        <v>12500</v>
      </c>
    </row>
    <row r="11" spans="2:11" x14ac:dyDescent="0.25">
      <c r="B11" s="67"/>
      <c r="C11" s="68" t="s">
        <v>330</v>
      </c>
      <c r="D11" s="67"/>
      <c r="E11" s="69"/>
      <c r="F11" s="68">
        <f t="shared" ref="F11:F15" si="0">+F10+D11-E11</f>
        <v>10</v>
      </c>
      <c r="G11" s="76"/>
      <c r="H11" s="77">
        <f t="shared" ref="H11" si="1">+K11/F11</f>
        <v>1350</v>
      </c>
      <c r="I11" s="76">
        <f>+ASIENTOS!B12</f>
        <v>1000</v>
      </c>
      <c r="J11" s="78"/>
      <c r="K11" s="77">
        <f t="shared" ref="K11:K15" si="2">+K10+I11-J11</f>
        <v>13500</v>
      </c>
    </row>
    <row r="12" spans="2:11" s="28" customFormat="1" x14ac:dyDescent="0.25">
      <c r="B12" s="74"/>
      <c r="C12" s="28" t="s">
        <v>171</v>
      </c>
      <c r="D12" s="74"/>
      <c r="E12" s="75">
        <f>+ASIENTOS!B14</f>
        <v>7</v>
      </c>
      <c r="F12" s="28">
        <f t="shared" si="0"/>
        <v>3</v>
      </c>
      <c r="G12" s="79"/>
      <c r="H12" s="80">
        <f>+H11</f>
        <v>1350</v>
      </c>
      <c r="I12" s="79"/>
      <c r="J12" s="81">
        <f>+E12*H12</f>
        <v>9450</v>
      </c>
      <c r="K12" s="80">
        <f t="shared" si="2"/>
        <v>4050</v>
      </c>
    </row>
    <row r="13" spans="2:11" x14ac:dyDescent="0.25">
      <c r="B13" s="67"/>
      <c r="C13" s="68" t="s">
        <v>170</v>
      </c>
      <c r="D13" s="67">
        <f>+ASIENTOS!B20</f>
        <v>3</v>
      </c>
      <c r="E13" s="69"/>
      <c r="F13" s="68">
        <f t="shared" si="0"/>
        <v>6</v>
      </c>
      <c r="G13" s="76">
        <f>+ASIENTOS!D20</f>
        <v>1800</v>
      </c>
      <c r="H13" s="77">
        <f>+K13/F13</f>
        <v>1548</v>
      </c>
      <c r="I13" s="76">
        <f>+D13*G13</f>
        <v>5400</v>
      </c>
      <c r="J13" s="78">
        <f>+'ESQUEMAS DE MAYOR'!O6</f>
        <v>162</v>
      </c>
      <c r="K13" s="77">
        <f t="shared" si="2"/>
        <v>9288</v>
      </c>
    </row>
    <row r="14" spans="2:11" s="28" customFormat="1" x14ac:dyDescent="0.25">
      <c r="B14" s="74"/>
      <c r="C14" s="28" t="s">
        <v>347</v>
      </c>
      <c r="D14" s="74">
        <f>+ASIENTOS!D22</f>
        <v>1</v>
      </c>
      <c r="E14" s="75"/>
      <c r="F14" s="28">
        <f t="shared" si="0"/>
        <v>7</v>
      </c>
      <c r="G14" s="79"/>
      <c r="H14" s="80">
        <f>+K14/F14</f>
        <v>1519.7142857142858</v>
      </c>
      <c r="I14" s="79">
        <f>+H12</f>
        <v>1350</v>
      </c>
      <c r="J14" s="81"/>
      <c r="K14" s="80">
        <f t="shared" si="2"/>
        <v>10638</v>
      </c>
    </row>
    <row r="15" spans="2:11" x14ac:dyDescent="0.25">
      <c r="B15" s="67"/>
      <c r="C15" s="68" t="s">
        <v>171</v>
      </c>
      <c r="D15" s="67"/>
      <c r="E15" s="69">
        <f>+ASIENTOS!B24</f>
        <v>4</v>
      </c>
      <c r="F15" s="68">
        <f t="shared" si="0"/>
        <v>3</v>
      </c>
      <c r="G15" s="67"/>
      <c r="H15" s="77">
        <f>+H14</f>
        <v>1519.7142857142858</v>
      </c>
      <c r="I15" s="67"/>
      <c r="J15" s="172">
        <f>+E15*H15</f>
        <v>6078.8571428571431</v>
      </c>
      <c r="K15" s="173">
        <f t="shared" si="2"/>
        <v>4559.1428571428569</v>
      </c>
    </row>
    <row r="16" spans="2:11" x14ac:dyDescent="0.25">
      <c r="B16" s="121"/>
      <c r="D16" s="121"/>
      <c r="E16" s="164"/>
      <c r="G16" s="121"/>
      <c r="I16" s="121"/>
      <c r="J16" s="164"/>
    </row>
  </sheetData>
  <mergeCells count="18">
    <mergeCell ref="D7:F7"/>
    <mergeCell ref="G7:H7"/>
    <mergeCell ref="J5:K5"/>
    <mergeCell ref="E5:F5"/>
    <mergeCell ref="B4:D4"/>
    <mergeCell ref="E4:H4"/>
    <mergeCell ref="I4:K4"/>
    <mergeCell ref="B5:C6"/>
    <mergeCell ref="B7:B8"/>
    <mergeCell ref="C7:C8"/>
    <mergeCell ref="I7:K7"/>
    <mergeCell ref="F3:H3"/>
    <mergeCell ref="I3:K3"/>
    <mergeCell ref="I2:K2"/>
    <mergeCell ref="J6:K6"/>
    <mergeCell ref="E6:F6"/>
    <mergeCell ref="B3:E3"/>
    <mergeCell ref="B2:G2"/>
  </mergeCells>
  <pageMargins left="0.7" right="0.7" top="0.75" bottom="0.75" header="0.3" footer="0.3"/>
  <pageSetup orientation="portrait" r:id="rId1"/>
  <ignoredErrors>
    <ignoredError sqref="K10 F10 H12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0"/>
  <sheetViews>
    <sheetView zoomScaleNormal="100" workbookViewId="0">
      <selection activeCell="N3" sqref="N3"/>
    </sheetView>
  </sheetViews>
  <sheetFormatPr baseColWidth="10" defaultRowHeight="15" x14ac:dyDescent="0.25"/>
  <cols>
    <col min="1" max="1" width="4.85546875" customWidth="1"/>
    <col min="3" max="3" width="13" customWidth="1"/>
    <col min="4" max="4" width="4.7109375" customWidth="1"/>
    <col min="5" max="5" width="4.28515625" customWidth="1"/>
    <col min="6" max="7" width="11.7109375" bestFit="1" customWidth="1"/>
    <col min="8" max="8" width="3" customWidth="1"/>
    <col min="9" max="9" width="3.28515625" customWidth="1"/>
    <col min="10" max="10" width="11.85546875" customWidth="1"/>
    <col min="11" max="11" width="12.7109375" customWidth="1"/>
    <col min="12" max="12" width="4.140625" customWidth="1"/>
    <col min="13" max="13" width="4.5703125" customWidth="1"/>
    <col min="14" max="14" width="11.5703125" bestFit="1" customWidth="1"/>
    <col min="16" max="16" width="4.5703125" customWidth="1"/>
    <col min="17" max="17" width="11.5703125" bestFit="1" customWidth="1"/>
  </cols>
  <sheetData>
    <row r="2" spans="1:18" x14ac:dyDescent="0.25">
      <c r="B2" s="213" t="s">
        <v>55</v>
      </c>
      <c r="C2" s="213"/>
      <c r="D2" s="51"/>
      <c r="F2" s="213" t="s">
        <v>58</v>
      </c>
      <c r="G2" s="213"/>
      <c r="H2" s="51"/>
      <c r="J2" s="213" t="s">
        <v>58</v>
      </c>
      <c r="K2" s="213"/>
      <c r="L2" s="51"/>
      <c r="N2" s="213" t="s">
        <v>68</v>
      </c>
      <c r="O2" s="213"/>
      <c r="Q2" s="233"/>
      <c r="R2" s="233"/>
    </row>
    <row r="3" spans="1:18" x14ac:dyDescent="0.25">
      <c r="A3" s="52" t="s">
        <v>136</v>
      </c>
      <c r="B3" s="47">
        <f>ASIENTOS!B4</f>
        <v>5000</v>
      </c>
      <c r="C3" s="148">
        <f>+ASIENTOS!H28*1.16</f>
        <v>549.83999999999992</v>
      </c>
      <c r="D3" s="2" t="s">
        <v>353</v>
      </c>
      <c r="E3" s="50" t="s">
        <v>136</v>
      </c>
      <c r="F3" s="47">
        <f>ASIENTOS!B5</f>
        <v>50000</v>
      </c>
      <c r="G3" s="2">
        <f>+ASIENTOS!B8*1.16</f>
        <v>5800</v>
      </c>
      <c r="H3" s="2" t="s">
        <v>164</v>
      </c>
      <c r="I3" s="50"/>
      <c r="J3" s="169"/>
      <c r="K3" s="175">
        <f>+ASIENTOS!D30*1.16</f>
        <v>839.83999999999992</v>
      </c>
      <c r="L3" s="2" t="s">
        <v>358</v>
      </c>
      <c r="M3" s="50" t="s">
        <v>136</v>
      </c>
      <c r="N3" s="47">
        <f>+ASIENTOS!B6</f>
        <v>5000</v>
      </c>
      <c r="O3" s="2">
        <f>+'TARJETA DE ALMACEN'!J12</f>
        <v>9450</v>
      </c>
      <c r="P3" s="2" t="s">
        <v>333</v>
      </c>
      <c r="Q3" s="53"/>
      <c r="R3" s="53"/>
    </row>
    <row r="4" spans="1:18" x14ac:dyDescent="0.25">
      <c r="B4" s="47">
        <f>+B3</f>
        <v>5000</v>
      </c>
      <c r="C4" s="176">
        <f>+C3</f>
        <v>549.83999999999992</v>
      </c>
      <c r="D4" s="2"/>
      <c r="E4" s="50" t="s">
        <v>337</v>
      </c>
      <c r="F4" s="48">
        <f>+ASIENTOS!B18</f>
        <v>22200</v>
      </c>
      <c r="G4" s="2">
        <f>+ASIENTOS!B12*1.16</f>
        <v>1160</v>
      </c>
      <c r="H4" s="2" t="s">
        <v>169</v>
      </c>
      <c r="I4" s="2"/>
      <c r="J4" s="157">
        <f>+F8</f>
        <v>73937.680000000008</v>
      </c>
      <c r="K4" s="181">
        <f>+K3</f>
        <v>839.83999999999992</v>
      </c>
      <c r="L4" s="2"/>
      <c r="M4" s="50" t="s">
        <v>166</v>
      </c>
      <c r="N4" s="48">
        <f>+ASIENTOS!B10*ASIENTOS!D10</f>
        <v>7500</v>
      </c>
      <c r="O4" s="2"/>
      <c r="P4" s="2"/>
      <c r="Q4" s="53"/>
      <c r="R4" s="53"/>
    </row>
    <row r="5" spans="1:18" x14ac:dyDescent="0.25">
      <c r="B5" s="153">
        <f>+B4-C4</f>
        <v>4450.16</v>
      </c>
      <c r="C5" s="93"/>
      <c r="D5" s="2"/>
      <c r="E5" s="50" t="s">
        <v>350</v>
      </c>
      <c r="F5" s="157">
        <f>+C20+G20-B20</f>
        <v>26373.760000000002</v>
      </c>
      <c r="G5" s="2">
        <f>+ASIENTOS!B16*1.16</f>
        <v>11600</v>
      </c>
      <c r="H5" s="2" t="s">
        <v>336</v>
      </c>
      <c r="I5" s="2"/>
      <c r="J5" s="153">
        <f>+J4-K4</f>
        <v>73097.840000000011</v>
      </c>
      <c r="K5" s="176"/>
      <c r="L5" s="2"/>
      <c r="M5" s="50" t="s">
        <v>168</v>
      </c>
      <c r="N5" s="48">
        <f>+ASIENTOS!B12</f>
        <v>1000</v>
      </c>
      <c r="O5" s="53"/>
      <c r="P5" s="2"/>
      <c r="Q5" s="53"/>
      <c r="R5" s="53"/>
    </row>
    <row r="6" spans="1:18" x14ac:dyDescent="0.25">
      <c r="B6" s="48"/>
      <c r="C6" s="2"/>
      <c r="D6" s="2"/>
      <c r="E6" s="2"/>
      <c r="F6" s="48"/>
      <c r="G6" s="148">
        <f>+N6+N22-O6</f>
        <v>6076.08</v>
      </c>
      <c r="H6" s="2" t="s">
        <v>342</v>
      </c>
      <c r="I6" s="2"/>
      <c r="J6" s="48"/>
      <c r="K6" s="53"/>
      <c r="L6" s="2"/>
      <c r="M6" s="50" t="s">
        <v>340</v>
      </c>
      <c r="N6" s="48">
        <f>+ASIENTOS!B20*ASIENTOS!D20</f>
        <v>5400</v>
      </c>
      <c r="O6" s="53">
        <f>+(ASIENTOS!B20*ASIENTOS!D20)*ASIENTOS!F20</f>
        <v>162</v>
      </c>
      <c r="P6" s="2" t="s">
        <v>342</v>
      </c>
      <c r="Q6" s="53"/>
      <c r="R6" s="53"/>
    </row>
    <row r="7" spans="1:18" x14ac:dyDescent="0.25">
      <c r="B7" s="48"/>
      <c r="C7" s="2"/>
      <c r="D7" s="2"/>
      <c r="E7" s="2"/>
      <c r="F7" s="153">
        <f>SUM(F3:F6)</f>
        <v>98573.760000000009</v>
      </c>
      <c r="G7" s="153">
        <f>SUM(G3:G6)</f>
        <v>24636.080000000002</v>
      </c>
      <c r="H7" s="2"/>
      <c r="I7" s="2"/>
      <c r="J7" s="48"/>
      <c r="K7" s="53"/>
      <c r="L7" s="2"/>
      <c r="M7" s="50" t="s">
        <v>345</v>
      </c>
      <c r="N7" s="171">
        <f>+ASIENTOS!B22</f>
        <v>1350</v>
      </c>
      <c r="O7" s="174">
        <f>+'TARJETA DE ALMACEN'!J15</f>
        <v>6078.8571428571431</v>
      </c>
      <c r="P7" s="2" t="s">
        <v>349</v>
      </c>
      <c r="Q7" s="53"/>
      <c r="R7" s="53"/>
    </row>
    <row r="8" spans="1:18" x14ac:dyDescent="0.25">
      <c r="C8" s="2"/>
      <c r="D8" s="2"/>
      <c r="E8" s="2"/>
      <c r="F8" s="183">
        <f>+F7-G7</f>
        <v>73937.680000000008</v>
      </c>
      <c r="G8" s="170"/>
      <c r="H8" s="2"/>
      <c r="I8" s="2"/>
      <c r="J8" s="48"/>
      <c r="K8" s="2"/>
      <c r="L8" s="2"/>
      <c r="M8" s="2"/>
      <c r="N8" s="169">
        <f>SUM(N3:N7)</f>
        <v>20250</v>
      </c>
      <c r="O8" s="175">
        <f>SUM(O3:O7)</f>
        <v>15690.857142857143</v>
      </c>
      <c r="P8" s="2"/>
      <c r="Q8" s="53"/>
      <c r="R8" s="53"/>
    </row>
    <row r="9" spans="1:18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57">
        <f>+N8-O8</f>
        <v>4559.1428571428569</v>
      </c>
      <c r="O9" s="2"/>
      <c r="P9" s="2"/>
      <c r="Q9" s="2"/>
      <c r="R9" s="2"/>
    </row>
    <row r="10" spans="1:18" x14ac:dyDescent="0.25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48"/>
      <c r="O10" s="2"/>
      <c r="P10" s="2"/>
      <c r="Q10" s="2"/>
      <c r="R10" s="2"/>
    </row>
    <row r="11" spans="1:18" x14ac:dyDescent="0.25">
      <c r="B11" s="213" t="s">
        <v>305</v>
      </c>
      <c r="C11" s="213"/>
      <c r="D11" s="51"/>
      <c r="E11" s="2"/>
      <c r="F11" s="234" t="s">
        <v>90</v>
      </c>
      <c r="G11" s="234"/>
      <c r="H11" s="2"/>
      <c r="I11" s="2"/>
      <c r="J11" s="234" t="s">
        <v>163</v>
      </c>
      <c r="K11" s="234"/>
      <c r="L11" s="2"/>
      <c r="M11" s="2"/>
      <c r="N11" s="234" t="s">
        <v>81</v>
      </c>
      <c r="O11" s="234"/>
      <c r="P11" s="2"/>
      <c r="Q11" s="2"/>
      <c r="R11" s="2"/>
    </row>
    <row r="12" spans="1:18" x14ac:dyDescent="0.25">
      <c r="A12" s="52" t="s">
        <v>162</v>
      </c>
      <c r="B12" s="47">
        <f>+ASIENTOS!B8</f>
        <v>5000</v>
      </c>
      <c r="C12" s="2"/>
      <c r="D12" s="2"/>
      <c r="E12" s="2"/>
      <c r="F12" s="47"/>
      <c r="G12" s="2">
        <f>+ASIENTOS!H4</f>
        <v>680000</v>
      </c>
      <c r="H12" s="2" t="s">
        <v>137</v>
      </c>
      <c r="I12" s="50" t="s">
        <v>166</v>
      </c>
      <c r="J12" s="47">
        <f>+(ASIENTOS!B10*ASIENTOS!D10)*0.16</f>
        <v>1200</v>
      </c>
      <c r="K12" s="2">
        <f>+J12</f>
        <v>1200</v>
      </c>
      <c r="L12" s="2"/>
      <c r="M12" s="50"/>
      <c r="N12" s="47"/>
      <c r="O12" s="2">
        <f>+(ASIENTOS!B10*ASIENTOS!D10)*1.16</f>
        <v>8700</v>
      </c>
      <c r="P12" s="2" t="s">
        <v>167</v>
      </c>
      <c r="Q12" s="2"/>
      <c r="R12" s="2"/>
    </row>
    <row r="13" spans="1:18" x14ac:dyDescent="0.25">
      <c r="B13" s="47">
        <f>+B12</f>
        <v>5000</v>
      </c>
      <c r="C13" s="93"/>
      <c r="D13" s="2"/>
      <c r="E13" s="2"/>
      <c r="F13" s="47"/>
      <c r="G13" s="93">
        <f>+G12</f>
        <v>680000</v>
      </c>
      <c r="H13" s="2"/>
      <c r="I13" s="50" t="s">
        <v>372</v>
      </c>
      <c r="J13" s="48">
        <f>+ASIENTOS!B42*0.16</f>
        <v>80</v>
      </c>
      <c r="K13" s="53"/>
      <c r="L13" s="2"/>
      <c r="M13" s="2"/>
      <c r="N13" s="47"/>
      <c r="O13" s="93"/>
      <c r="P13" s="2"/>
      <c r="Q13" s="2"/>
      <c r="R13" s="2"/>
    </row>
    <row r="14" spans="1:18" x14ac:dyDescent="0.25">
      <c r="B14" s="48"/>
      <c r="C14" s="2"/>
      <c r="D14" s="2"/>
      <c r="E14" s="2"/>
      <c r="F14" s="48"/>
      <c r="G14" s="2"/>
      <c r="H14" s="2"/>
      <c r="I14" s="50" t="s">
        <v>375</v>
      </c>
      <c r="J14" s="171">
        <f>+ASIENTOS!B44*0.16</f>
        <v>160</v>
      </c>
      <c r="K14" s="49"/>
      <c r="L14" s="2"/>
      <c r="M14" s="2"/>
      <c r="N14" s="48"/>
      <c r="O14" s="2"/>
      <c r="P14" s="2"/>
      <c r="Q14" s="2"/>
      <c r="R14" s="2"/>
    </row>
    <row r="15" spans="1:18" x14ac:dyDescent="0.25">
      <c r="B15" s="48"/>
      <c r="C15" s="2"/>
      <c r="D15" s="2"/>
      <c r="E15" s="2"/>
      <c r="F15" s="48"/>
      <c r="G15" s="2"/>
      <c r="H15" s="2"/>
      <c r="I15" s="2"/>
      <c r="J15" s="169">
        <f>SUM(J12:J14)</f>
        <v>1440</v>
      </c>
      <c r="K15" s="169">
        <f>SUM(K12:K14)</f>
        <v>1200</v>
      </c>
      <c r="L15" s="2"/>
      <c r="M15" s="2"/>
      <c r="N15" s="48"/>
      <c r="O15" s="2"/>
      <c r="P15" s="2"/>
      <c r="Q15" s="2"/>
      <c r="R15" s="2"/>
    </row>
    <row r="16" spans="1:18" x14ac:dyDescent="0.25">
      <c r="B16" s="48"/>
      <c r="C16" s="2"/>
      <c r="D16" s="2"/>
      <c r="E16" s="2"/>
      <c r="F16" s="48"/>
      <c r="G16" s="2"/>
      <c r="H16" s="2"/>
      <c r="I16" s="2"/>
      <c r="J16" s="48">
        <f>+J15-K15</f>
        <v>240</v>
      </c>
      <c r="K16" s="2"/>
      <c r="L16" s="2"/>
      <c r="M16" s="2"/>
      <c r="N16" s="48"/>
      <c r="O16" s="2"/>
      <c r="P16" s="2"/>
      <c r="Q16" s="2"/>
      <c r="R16" s="2"/>
    </row>
    <row r="18" spans="1:19" x14ac:dyDescent="0.25">
      <c r="B18" s="213" t="s">
        <v>94</v>
      </c>
      <c r="C18" s="213"/>
      <c r="F18" s="213" t="s">
        <v>85</v>
      </c>
      <c r="G18" s="213"/>
      <c r="J18" s="213" t="s">
        <v>328</v>
      </c>
      <c r="K18" s="213"/>
      <c r="N18" s="213" t="s">
        <v>71</v>
      </c>
      <c r="O18" s="213"/>
      <c r="Q18" s="213" t="s">
        <v>71</v>
      </c>
      <c r="R18" s="213"/>
    </row>
    <row r="19" spans="1:19" x14ac:dyDescent="0.25">
      <c r="A19" s="52" t="s">
        <v>345</v>
      </c>
      <c r="B19" s="47">
        <f>+ASIENTOS!D14</f>
        <v>5000</v>
      </c>
      <c r="C19" s="93">
        <f>+ASIENTOS!B14*ASIENTOS!D14</f>
        <v>35000</v>
      </c>
      <c r="D19" s="2" t="s">
        <v>333</v>
      </c>
      <c r="E19" s="2"/>
      <c r="F19" s="47"/>
      <c r="G19" s="148">
        <f>+(ASIENTOS!B18/1.16)*0.16</f>
        <v>3062.0689655172418</v>
      </c>
      <c r="H19" s="2" t="s">
        <v>338</v>
      </c>
      <c r="I19" s="50" t="s">
        <v>337</v>
      </c>
      <c r="J19" s="153">
        <f>(ASIENTOS!B18/1.16)*0.16</f>
        <v>3062.0689655172418</v>
      </c>
      <c r="K19" s="2">
        <f>+(ASIENTOS!B14*ASIENTOS!D14)*0.16</f>
        <v>5600</v>
      </c>
      <c r="L19" s="2" t="s">
        <v>333</v>
      </c>
      <c r="M19" s="50" t="s">
        <v>162</v>
      </c>
      <c r="N19" s="47">
        <f>+ASIENTOS!B8*0.16</f>
        <v>800</v>
      </c>
      <c r="O19" s="2"/>
      <c r="P19" s="52" t="s">
        <v>356</v>
      </c>
      <c r="Q19" s="179">
        <f>+ASIENTOS!H28*0.16</f>
        <v>75.84</v>
      </c>
    </row>
    <row r="20" spans="1:19" x14ac:dyDescent="0.25">
      <c r="A20" s="52" t="s">
        <v>350</v>
      </c>
      <c r="B20" s="48">
        <f>+(ASIENTOS!B24*ASIENTOS!D24)*ASIENTOS!F24</f>
        <v>464</v>
      </c>
      <c r="C20" s="2">
        <f>+ASIENTOS!B24*ASIENTOS!D24</f>
        <v>23200</v>
      </c>
      <c r="D20" s="2" t="s">
        <v>349</v>
      </c>
      <c r="E20" s="2"/>
      <c r="F20" s="48"/>
      <c r="G20" s="148">
        <f>+(C20-B20)*0.16</f>
        <v>3637.76</v>
      </c>
      <c r="H20" s="2" t="s">
        <v>349</v>
      </c>
      <c r="I20" s="50" t="s">
        <v>345</v>
      </c>
      <c r="J20" s="48">
        <f>+ASIENTOS!D14*0.16</f>
        <v>800</v>
      </c>
      <c r="K20" s="53"/>
      <c r="L20" s="2"/>
      <c r="M20" s="50" t="s">
        <v>168</v>
      </c>
      <c r="N20" s="48">
        <f>+ASIENTOS!B12*0.16</f>
        <v>160</v>
      </c>
      <c r="O20" s="2"/>
      <c r="P20" s="52" t="s">
        <v>357</v>
      </c>
      <c r="Q20" s="180">
        <f>+ASIENTOS!D30*0.16</f>
        <v>115.84</v>
      </c>
    </row>
    <row r="21" spans="1:19" x14ac:dyDescent="0.25">
      <c r="B21" s="169">
        <f>SUM(B19:B20)</f>
        <v>5464</v>
      </c>
      <c r="C21" s="170">
        <f>SUM(C19:C20)</f>
        <v>58200</v>
      </c>
      <c r="D21" s="2"/>
      <c r="E21" s="50" t="s">
        <v>379</v>
      </c>
      <c r="F21" s="153">
        <f>+G21</f>
        <v>6699.8289655172421</v>
      </c>
      <c r="G21" s="160">
        <f>SUM(G19:G20)</f>
        <v>6699.8289655172421</v>
      </c>
      <c r="H21" s="2"/>
      <c r="I21" s="50" t="s">
        <v>360</v>
      </c>
      <c r="J21" s="178">
        <f>+B34*0.16</f>
        <v>86.896551724137936</v>
      </c>
      <c r="K21" s="49"/>
      <c r="L21" s="2"/>
      <c r="M21" s="50" t="s">
        <v>334</v>
      </c>
      <c r="N21" s="48">
        <f>+ASIENTOS!B16*0.16</f>
        <v>1600</v>
      </c>
      <c r="O21" s="2"/>
      <c r="Q21" s="179">
        <f>+Q19+Q20+N23</f>
        <v>3589.7599999999998</v>
      </c>
      <c r="R21" s="184">
        <f>+Q21</f>
        <v>3589.7599999999998</v>
      </c>
      <c r="S21" t="s">
        <v>380</v>
      </c>
    </row>
    <row r="22" spans="1:19" x14ac:dyDescent="0.25">
      <c r="B22" s="183">
        <f>+C22</f>
        <v>52736</v>
      </c>
      <c r="C22" s="170">
        <f>+C21-B21</f>
        <v>52736</v>
      </c>
      <c r="D22" s="2"/>
      <c r="E22" s="2"/>
      <c r="F22" s="153"/>
      <c r="G22" s="93"/>
      <c r="H22" s="2"/>
      <c r="I22" s="2"/>
      <c r="J22" s="183">
        <f>SUM(J19:J21)</f>
        <v>3948.96551724138</v>
      </c>
      <c r="K22" s="175">
        <f>SUM(K19:K21)</f>
        <v>5600</v>
      </c>
      <c r="L22" s="2"/>
      <c r="M22" s="50" t="s">
        <v>340</v>
      </c>
      <c r="N22" s="178">
        <f>+(N6-O6)*0.16</f>
        <v>838.08</v>
      </c>
      <c r="O22" s="49"/>
      <c r="Q22" s="121"/>
    </row>
    <row r="23" spans="1:19" x14ac:dyDescent="0.25">
      <c r="B23" s="48"/>
      <c r="C23" s="2"/>
      <c r="D23" s="2"/>
      <c r="E23" s="2"/>
      <c r="F23" s="48"/>
      <c r="G23" s="2"/>
      <c r="H23" s="2"/>
      <c r="I23" s="2"/>
      <c r="J23" s="157"/>
      <c r="K23" s="148">
        <f>+K22-J22</f>
        <v>1651.03448275862</v>
      </c>
      <c r="L23" s="2"/>
      <c r="M23" s="50"/>
      <c r="N23" s="183">
        <f>SUM(N19:N22)</f>
        <v>3398.08</v>
      </c>
      <c r="O23" s="175">
        <f>+N23</f>
        <v>3398.08</v>
      </c>
      <c r="Q23" s="121"/>
    </row>
    <row r="24" spans="1:19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9" x14ac:dyDescent="0.25">
      <c r="B25" s="189" t="s">
        <v>172</v>
      </c>
      <c r="C25" s="190"/>
      <c r="D25" s="2"/>
      <c r="E25" s="2"/>
      <c r="F25" s="234" t="s">
        <v>100</v>
      </c>
      <c r="G25" s="234"/>
      <c r="H25" s="2"/>
      <c r="I25" s="2"/>
      <c r="J25" s="234" t="s">
        <v>65</v>
      </c>
      <c r="K25" s="234"/>
      <c r="L25" s="2"/>
      <c r="M25" s="2"/>
      <c r="N25" s="234" t="s">
        <v>308</v>
      </c>
      <c r="O25" s="234"/>
    </row>
    <row r="26" spans="1:19" x14ac:dyDescent="0.25">
      <c r="A26" s="52" t="s">
        <v>332</v>
      </c>
      <c r="B26" s="47">
        <f>+'TARJETA DE ALMACEN'!J12</f>
        <v>9450</v>
      </c>
      <c r="C26" s="2">
        <f>+ASIENTOS!B22</f>
        <v>1350</v>
      </c>
      <c r="D26" s="2" t="s">
        <v>346</v>
      </c>
      <c r="E26" s="50" t="s">
        <v>352</v>
      </c>
      <c r="F26" s="153">
        <f>+ASIENTOS!H28*ASIENTOS!F28</f>
        <v>142.19999999999999</v>
      </c>
      <c r="G26" s="2"/>
      <c r="H26" s="2"/>
      <c r="I26" s="50" t="s">
        <v>332</v>
      </c>
      <c r="J26" s="47">
        <f>+(ASIENTOS!B14*ASIENTOS!D14)*1.16</f>
        <v>40600</v>
      </c>
      <c r="K26" s="2">
        <f>+ASIENTOS!B18</f>
        <v>22200</v>
      </c>
      <c r="L26" s="2" t="s">
        <v>338</v>
      </c>
      <c r="M26" s="50" t="s">
        <v>334</v>
      </c>
      <c r="N26" s="48">
        <f>+ASIENTOS!B16</f>
        <v>10000</v>
      </c>
      <c r="O26" s="2">
        <f>+ASIENTOS!B38</f>
        <v>5000</v>
      </c>
    </row>
    <row r="27" spans="1:19" x14ac:dyDescent="0.25">
      <c r="A27" s="52" t="s">
        <v>350</v>
      </c>
      <c r="B27" s="157">
        <f>+'TARJETA DE ALMACEN'!J15</f>
        <v>6078.8571428571431</v>
      </c>
      <c r="C27" s="2"/>
      <c r="D27" s="2"/>
      <c r="E27" s="50" t="s">
        <v>366</v>
      </c>
      <c r="F27" s="48">
        <f>+(B41*ASIENTOS!B36)*ASIENTOS!D36</f>
        <v>5250</v>
      </c>
      <c r="G27" s="53"/>
      <c r="H27" s="2"/>
      <c r="I27" s="2"/>
      <c r="J27" s="171"/>
      <c r="K27" s="49">
        <f>+'ESQUEMAS DE MAYOR'!B19+'ESQUEMAS DE MAYOR'!J20</f>
        <v>5800</v>
      </c>
      <c r="L27" s="2" t="s">
        <v>346</v>
      </c>
      <c r="M27" s="2"/>
      <c r="N27" s="169">
        <f>+N26</f>
        <v>10000</v>
      </c>
      <c r="O27" s="170">
        <f>+O26</f>
        <v>5000</v>
      </c>
    </row>
    <row r="28" spans="1:19" x14ac:dyDescent="0.25">
      <c r="B28" s="183">
        <f>SUM(B26:B27)</f>
        <v>15528.857142857143</v>
      </c>
      <c r="C28" s="170">
        <f>+C26</f>
        <v>1350</v>
      </c>
      <c r="D28" s="2"/>
      <c r="E28" s="50" t="s">
        <v>375</v>
      </c>
      <c r="F28" s="48">
        <f>+ASIENTOS!B44*ASIENTOS!F44</f>
        <v>300</v>
      </c>
      <c r="G28" s="2"/>
      <c r="H28" s="2"/>
      <c r="I28" s="2"/>
      <c r="J28" s="169">
        <f>SUM(J26:J27)</f>
        <v>40600</v>
      </c>
      <c r="K28" s="169">
        <f>SUM(K26:K27)</f>
        <v>28000</v>
      </c>
      <c r="L28" s="2"/>
      <c r="M28" s="2"/>
      <c r="N28" s="48">
        <f>+N27-O27</f>
        <v>5000</v>
      </c>
      <c r="O28" s="2"/>
    </row>
    <row r="29" spans="1:19" x14ac:dyDescent="0.25">
      <c r="B29" s="183">
        <f>+B28-C28</f>
        <v>14178.857142857143</v>
      </c>
      <c r="C29" s="175">
        <f>+B29</f>
        <v>14178.857142857143</v>
      </c>
      <c r="D29" s="2"/>
      <c r="E29" s="50" t="s">
        <v>377</v>
      </c>
      <c r="F29" s="171">
        <f>+(B13*ASIENTOS!B46)*ASIENTOS!F46</f>
        <v>150</v>
      </c>
      <c r="G29" s="49"/>
      <c r="H29" s="2"/>
      <c r="I29" s="2"/>
      <c r="J29" s="48">
        <f>+J28-K28</f>
        <v>12600</v>
      </c>
      <c r="K29" s="2"/>
      <c r="L29" s="2"/>
      <c r="M29" s="2"/>
      <c r="N29" s="48"/>
      <c r="O29" s="2"/>
    </row>
    <row r="30" spans="1:19" x14ac:dyDescent="0.25">
      <c r="B30" s="48"/>
      <c r="C30" s="2"/>
      <c r="D30" s="2"/>
      <c r="E30" s="2"/>
      <c r="F30" s="157">
        <f>SUM(F26:F29)</f>
        <v>5842.2</v>
      </c>
      <c r="G30" s="148">
        <f>+F30</f>
        <v>5842.2</v>
      </c>
      <c r="H30" s="2"/>
      <c r="I30" s="2"/>
      <c r="J30" s="48"/>
      <c r="K30" s="2"/>
      <c r="L30" s="2"/>
      <c r="M30" s="2"/>
      <c r="N30" s="48"/>
      <c r="O30" s="2"/>
    </row>
    <row r="31" spans="1:19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9" x14ac:dyDescent="0.25">
      <c r="B32" s="49" t="s">
        <v>179</v>
      </c>
      <c r="C32" s="49"/>
      <c r="D32" s="2"/>
      <c r="E32" s="2"/>
      <c r="F32" s="234" t="s">
        <v>354</v>
      </c>
      <c r="G32" s="234"/>
      <c r="H32" s="2"/>
      <c r="I32" s="2"/>
      <c r="J32" s="234" t="s">
        <v>359</v>
      </c>
      <c r="K32" s="234"/>
      <c r="L32" s="2"/>
      <c r="M32" s="2"/>
      <c r="N32" s="234" t="s">
        <v>290</v>
      </c>
      <c r="O32" s="234"/>
    </row>
    <row r="33" spans="1:16" x14ac:dyDescent="0.25">
      <c r="A33" s="52" t="s">
        <v>352</v>
      </c>
      <c r="B33" s="153">
        <f>+ASIENTOS!H28*ASIENTOS!D28</f>
        <v>331.79999999999995</v>
      </c>
      <c r="C33" s="2"/>
      <c r="D33" s="2"/>
      <c r="E33" s="50" t="s">
        <v>355</v>
      </c>
      <c r="F33" s="47">
        <f>+ASIENTOS!D30</f>
        <v>724</v>
      </c>
      <c r="G33" s="2"/>
      <c r="H33" s="2"/>
      <c r="I33" s="2"/>
      <c r="J33" s="47"/>
      <c r="K33" s="2">
        <f>+J29*ASIENTOS!B32</f>
        <v>630</v>
      </c>
      <c r="L33" s="2" t="s">
        <v>361</v>
      </c>
      <c r="M33" s="50" t="s">
        <v>137</v>
      </c>
      <c r="N33" s="47">
        <f>+ASIENTOS!E4</f>
        <v>500000</v>
      </c>
      <c r="O33" s="2"/>
    </row>
    <row r="34" spans="1:16" x14ac:dyDescent="0.25">
      <c r="A34" s="52" t="s">
        <v>360</v>
      </c>
      <c r="B34" s="157">
        <f>(J29*ASIENTOS!B32)/1.16</f>
        <v>543.10344827586209</v>
      </c>
      <c r="C34" s="53"/>
      <c r="D34" s="2"/>
      <c r="E34" s="50" t="s">
        <v>372</v>
      </c>
      <c r="F34" s="171">
        <f>+ASIENTOS!B42</f>
        <v>500</v>
      </c>
      <c r="G34" s="49"/>
      <c r="H34" s="2"/>
      <c r="I34" s="2"/>
      <c r="J34" s="47"/>
      <c r="K34" s="93">
        <f>+K33</f>
        <v>630</v>
      </c>
      <c r="L34" s="2"/>
      <c r="M34" s="50" t="s">
        <v>363</v>
      </c>
      <c r="N34" s="171">
        <f>+ASIENTOS!B34*'ESQUEMAS DE MAYOR'!N33</f>
        <v>250000</v>
      </c>
      <c r="O34" s="49"/>
    </row>
    <row r="35" spans="1:16" x14ac:dyDescent="0.25">
      <c r="A35" s="52" t="s">
        <v>366</v>
      </c>
      <c r="B35" s="48">
        <f>+(B41*ASIENTOS!B36)*ASIENTOS!F36</f>
        <v>2250</v>
      </c>
      <c r="C35" s="2"/>
      <c r="D35" s="2"/>
      <c r="E35" s="2"/>
      <c r="F35" s="169">
        <f>SUM(F33:F34)</f>
        <v>1224</v>
      </c>
      <c r="G35" s="170">
        <f>+F35</f>
        <v>1224</v>
      </c>
      <c r="H35" s="2"/>
      <c r="I35" s="2"/>
      <c r="J35" s="48"/>
      <c r="K35" s="2"/>
      <c r="L35" s="2"/>
      <c r="M35" s="2"/>
      <c r="N35" s="48">
        <f>SUM(N33:N34)</f>
        <v>750000</v>
      </c>
      <c r="O35" s="2"/>
    </row>
    <row r="36" spans="1:16" x14ac:dyDescent="0.25">
      <c r="A36" s="52" t="s">
        <v>367</v>
      </c>
      <c r="B36" s="171">
        <f>+ASIENTOS!B38</f>
        <v>5000</v>
      </c>
      <c r="C36" s="49"/>
      <c r="D36" s="2"/>
      <c r="E36" s="2"/>
      <c r="F36" s="48"/>
      <c r="G36" s="2"/>
      <c r="H36" s="2"/>
      <c r="I36" s="2"/>
      <c r="J36" s="48"/>
      <c r="K36" s="2"/>
      <c r="L36" s="2"/>
      <c r="M36" s="2"/>
      <c r="N36" s="48"/>
      <c r="O36" s="2"/>
    </row>
    <row r="37" spans="1:16" x14ac:dyDescent="0.25">
      <c r="B37" s="183">
        <f>SUM(B33:B36)</f>
        <v>8124.9034482758616</v>
      </c>
      <c r="C37" s="175">
        <f>+B37</f>
        <v>8124.9034482758616</v>
      </c>
      <c r="D37" s="2"/>
      <c r="E37" s="2"/>
      <c r="F37" s="48"/>
      <c r="G37" s="2"/>
      <c r="H37" s="2"/>
      <c r="I37" s="2"/>
      <c r="J37" s="48"/>
      <c r="K37" s="2"/>
      <c r="L37" s="2"/>
      <c r="M37" s="2"/>
      <c r="N37" s="48"/>
      <c r="O37" s="2"/>
    </row>
    <row r="38" spans="1:16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B39" s="234" t="s">
        <v>292</v>
      </c>
      <c r="C39" s="234"/>
      <c r="D39" s="2"/>
      <c r="E39" s="2"/>
      <c r="F39" s="234" t="s">
        <v>298</v>
      </c>
      <c r="G39" s="234"/>
      <c r="H39" s="2"/>
      <c r="I39" s="2"/>
      <c r="J39" s="234" t="s">
        <v>324</v>
      </c>
      <c r="K39" s="234"/>
      <c r="L39" s="2"/>
      <c r="M39" s="2"/>
      <c r="N39" s="234" t="s">
        <v>288</v>
      </c>
      <c r="O39" s="234"/>
    </row>
    <row r="40" spans="1:16" x14ac:dyDescent="0.25">
      <c r="A40" s="52" t="s">
        <v>136</v>
      </c>
      <c r="B40" s="169">
        <f>+ASIENTOS!E5</f>
        <v>150000</v>
      </c>
      <c r="C40" s="170"/>
      <c r="D40" s="2"/>
      <c r="E40" s="50" t="s">
        <v>370</v>
      </c>
      <c r="F40" s="47">
        <f>+ASIENTOS!B40</f>
        <v>15000</v>
      </c>
      <c r="G40" s="2">
        <f>+ASIENTOS!E6</f>
        <v>30000</v>
      </c>
      <c r="H40" s="2" t="s">
        <v>137</v>
      </c>
      <c r="I40" s="50" t="s">
        <v>136</v>
      </c>
      <c r="J40" s="47">
        <v>55000</v>
      </c>
      <c r="K40" s="2">
        <v>55000</v>
      </c>
      <c r="L40" s="2" t="s">
        <v>137</v>
      </c>
      <c r="M40" s="2"/>
      <c r="N40" s="47"/>
      <c r="O40" s="2">
        <f>+N34</f>
        <v>250000</v>
      </c>
      <c r="P40" t="s">
        <v>362</v>
      </c>
    </row>
    <row r="41" spans="1:16" ht="15.75" thickBot="1" x14ac:dyDescent="0.3">
      <c r="B41" s="48">
        <f>+B40</f>
        <v>150000</v>
      </c>
      <c r="F41" s="47"/>
      <c r="G41" s="93">
        <f>+G40-F40</f>
        <v>15000</v>
      </c>
      <c r="J41" s="166"/>
      <c r="K41" s="167"/>
      <c r="N41" s="121"/>
    </row>
    <row r="42" spans="1:16" ht="15.75" thickTop="1" x14ac:dyDescent="0.25">
      <c r="B42" s="121"/>
      <c r="F42" s="121"/>
      <c r="J42" s="121"/>
      <c r="N42" s="121"/>
    </row>
    <row r="43" spans="1:16" x14ac:dyDescent="0.25">
      <c r="B43" s="121"/>
      <c r="F43" s="121"/>
      <c r="J43" s="121"/>
      <c r="N43" s="121"/>
    </row>
    <row r="44" spans="1:16" x14ac:dyDescent="0.25">
      <c r="B44" s="121"/>
      <c r="F44" s="121"/>
      <c r="J44" s="121"/>
      <c r="N44" s="121"/>
    </row>
    <row r="46" spans="1:16" x14ac:dyDescent="0.25">
      <c r="B46" s="213" t="s">
        <v>364</v>
      </c>
      <c r="C46" s="213"/>
      <c r="F46" s="213" t="s">
        <v>368</v>
      </c>
      <c r="G46" s="213"/>
      <c r="J46" s="213" t="s">
        <v>371</v>
      </c>
      <c r="K46" s="213"/>
      <c r="N46" s="213" t="s">
        <v>374</v>
      </c>
      <c r="O46" s="213"/>
    </row>
    <row r="47" spans="1:16" x14ac:dyDescent="0.25">
      <c r="B47" s="120"/>
      <c r="C47" s="2">
        <f>+B35+F27</f>
        <v>7500</v>
      </c>
      <c r="D47" t="s">
        <v>365</v>
      </c>
      <c r="F47" s="153">
        <f>+G47</f>
        <v>15000</v>
      </c>
      <c r="G47" s="148">
        <f>+ASIENTOS!B40</f>
        <v>15000</v>
      </c>
      <c r="H47" t="s">
        <v>369</v>
      </c>
      <c r="J47" s="120"/>
      <c r="K47">
        <f>+ASIENTOS!B42*1.16</f>
        <v>580</v>
      </c>
      <c r="L47" t="s">
        <v>373</v>
      </c>
      <c r="M47" s="52" t="s">
        <v>375</v>
      </c>
      <c r="N47" s="120">
        <f>+(ASIENTOS!B44*ASIENTOS!D44)</f>
        <v>700</v>
      </c>
    </row>
    <row r="48" spans="1:16" x14ac:dyDescent="0.25">
      <c r="B48" s="121"/>
      <c r="F48" s="120"/>
      <c r="G48" s="119"/>
      <c r="J48" s="123"/>
      <c r="K48" s="122">
        <f>+ASIENTOS!B44*1.16</f>
        <v>1160</v>
      </c>
      <c r="L48" t="s">
        <v>376</v>
      </c>
      <c r="M48" s="52" t="s">
        <v>377</v>
      </c>
      <c r="N48" s="123">
        <f>(B13*ASIENTOS!B46)*ASIENTOS!D46</f>
        <v>350</v>
      </c>
      <c r="O48" s="122"/>
    </row>
    <row r="49" spans="1:16" x14ac:dyDescent="0.25">
      <c r="B49" s="121"/>
      <c r="F49" s="121"/>
      <c r="J49" s="121"/>
      <c r="K49">
        <f>SUM(K47:K48)</f>
        <v>1740</v>
      </c>
      <c r="N49" s="183">
        <f>+N48+N47+B37</f>
        <v>9174.9034482758616</v>
      </c>
      <c r="O49" s="175">
        <f>+N49</f>
        <v>9174.9034482758616</v>
      </c>
    </row>
    <row r="50" spans="1:16" x14ac:dyDescent="0.25">
      <c r="B50" s="121"/>
      <c r="F50" s="121"/>
      <c r="J50" s="121"/>
      <c r="N50" s="121"/>
    </row>
    <row r="51" spans="1:16" x14ac:dyDescent="0.25">
      <c r="B51" s="121"/>
      <c r="F51" s="121"/>
      <c r="J51" s="121"/>
      <c r="N51" s="121"/>
    </row>
    <row r="53" spans="1:16" x14ac:dyDescent="0.25">
      <c r="B53" s="213" t="s">
        <v>378</v>
      </c>
      <c r="C53" s="213"/>
      <c r="F53" s="213" t="s">
        <v>220</v>
      </c>
      <c r="G53" s="213"/>
      <c r="J53" s="213" t="s">
        <v>303</v>
      </c>
      <c r="K53" s="213"/>
      <c r="N53" s="213" t="s">
        <v>381</v>
      </c>
      <c r="O53" s="213"/>
    </row>
    <row r="54" spans="1:16" x14ac:dyDescent="0.25">
      <c r="A54" s="52" t="s">
        <v>379</v>
      </c>
      <c r="B54" s="179">
        <f>+R21</f>
        <v>3589.7599999999998</v>
      </c>
      <c r="C54" s="148">
        <f>+F21</f>
        <v>6699.8289655172421</v>
      </c>
      <c r="D54" t="s">
        <v>380</v>
      </c>
      <c r="F54" s="153">
        <f>+C29</f>
        <v>14178.857142857143</v>
      </c>
      <c r="G54" s="148">
        <f>+B22</f>
        <v>52736</v>
      </c>
      <c r="J54" s="120"/>
      <c r="K54" s="148">
        <f>+F59</f>
        <v>37316.039408867</v>
      </c>
      <c r="N54" s="120"/>
      <c r="O54" s="2">
        <f>+N48+F29</f>
        <v>500</v>
      </c>
      <c r="P54" t="s">
        <v>382</v>
      </c>
    </row>
    <row r="55" spans="1:16" x14ac:dyDescent="0.25">
      <c r="B55" s="120"/>
      <c r="C55" s="184">
        <f>+C54-B54</f>
        <v>3110.0689655172423</v>
      </c>
      <c r="F55" s="157">
        <f>+O49</f>
        <v>9174.9034482758616</v>
      </c>
      <c r="G55" s="148">
        <f>+F47</f>
        <v>15000</v>
      </c>
      <c r="J55" s="121"/>
      <c r="N55" s="121"/>
    </row>
    <row r="56" spans="1:16" x14ac:dyDescent="0.25">
      <c r="B56" s="121"/>
      <c r="F56" s="157">
        <f>+G30</f>
        <v>5842.2</v>
      </c>
      <c r="J56" s="121"/>
      <c r="N56" s="121"/>
    </row>
    <row r="57" spans="1:16" x14ac:dyDescent="0.25">
      <c r="B57" s="121"/>
      <c r="F57" s="171">
        <f>+G35</f>
        <v>1224</v>
      </c>
      <c r="G57" s="122"/>
      <c r="J57" s="121"/>
      <c r="N57" s="121"/>
    </row>
    <row r="58" spans="1:16" x14ac:dyDescent="0.25">
      <c r="B58" s="121"/>
      <c r="F58" s="153">
        <f>SUM(F54:F57)</f>
        <v>30419.960591133004</v>
      </c>
      <c r="G58" s="148">
        <f>SUM(G54:G57)</f>
        <v>67736</v>
      </c>
      <c r="J58" s="121"/>
      <c r="N58" s="121"/>
    </row>
    <row r="59" spans="1:16" x14ac:dyDescent="0.25">
      <c r="F59" s="183">
        <f>+G59</f>
        <v>37316.039408867</v>
      </c>
      <c r="G59" s="175">
        <f>+G58-F58</f>
        <v>37316.039408867</v>
      </c>
    </row>
    <row r="60" spans="1:16" x14ac:dyDescent="0.25">
      <c r="F60" s="121"/>
    </row>
  </sheetData>
  <mergeCells count="32">
    <mergeCell ref="N53:O53"/>
    <mergeCell ref="B53:C53"/>
    <mergeCell ref="F53:G53"/>
    <mergeCell ref="J53:K53"/>
    <mergeCell ref="F25:G25"/>
    <mergeCell ref="J25:K25"/>
    <mergeCell ref="B46:C46"/>
    <mergeCell ref="F46:G46"/>
    <mergeCell ref="J46:K46"/>
    <mergeCell ref="B11:C11"/>
    <mergeCell ref="F11:G11"/>
    <mergeCell ref="J11:K11"/>
    <mergeCell ref="N11:O11"/>
    <mergeCell ref="N46:O46"/>
    <mergeCell ref="N25:O25"/>
    <mergeCell ref="N32:O32"/>
    <mergeCell ref="Q2:R2"/>
    <mergeCell ref="B39:C39"/>
    <mergeCell ref="F39:G39"/>
    <mergeCell ref="J39:K39"/>
    <mergeCell ref="F32:G32"/>
    <mergeCell ref="J32:K32"/>
    <mergeCell ref="Q18:R18"/>
    <mergeCell ref="N39:O39"/>
    <mergeCell ref="B18:C18"/>
    <mergeCell ref="F18:G18"/>
    <mergeCell ref="J18:K18"/>
    <mergeCell ref="N18:O18"/>
    <mergeCell ref="B2:C2"/>
    <mergeCell ref="F2:G2"/>
    <mergeCell ref="J2:K2"/>
    <mergeCell ref="N2:O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opLeftCell="A15" workbookViewId="0">
      <selection activeCell="B30" sqref="B30"/>
    </sheetView>
  </sheetViews>
  <sheetFormatPr baseColWidth="10" defaultRowHeight="15" x14ac:dyDescent="0.25"/>
  <cols>
    <col min="1" max="1" width="23.140625" bestFit="1" customWidth="1"/>
    <col min="2" max="2" width="27.5703125" bestFit="1" customWidth="1"/>
    <col min="3" max="3" width="14.140625" bestFit="1" customWidth="1"/>
    <col min="5" max="8" width="11.7109375" bestFit="1" customWidth="1"/>
  </cols>
  <sheetData>
    <row r="1" spans="1:10" ht="18.75" x14ac:dyDescent="0.3">
      <c r="A1" s="209" t="s">
        <v>2</v>
      </c>
      <c r="B1" s="209"/>
      <c r="C1" s="209"/>
      <c r="D1" s="209"/>
      <c r="E1" s="209"/>
      <c r="F1" s="209"/>
      <c r="G1" s="209"/>
      <c r="H1" s="209"/>
    </row>
    <row r="2" spans="1:10" ht="18.75" x14ac:dyDescent="0.3">
      <c r="A2" s="209" t="s">
        <v>4</v>
      </c>
      <c r="B2" s="209"/>
      <c r="C2" s="209"/>
      <c r="D2" s="209"/>
      <c r="E2" s="209"/>
      <c r="F2" s="209"/>
      <c r="G2" s="209"/>
      <c r="H2" s="209"/>
    </row>
    <row r="3" spans="1:10" ht="18.75" x14ac:dyDescent="0.3">
      <c r="A3" s="209" t="s">
        <v>5</v>
      </c>
      <c r="B3" s="209"/>
      <c r="C3" s="209"/>
      <c r="D3" s="209"/>
      <c r="E3" s="209"/>
      <c r="F3" s="209"/>
      <c r="G3" s="209"/>
      <c r="H3" s="209"/>
    </row>
    <row r="4" spans="1:10" ht="18.75" x14ac:dyDescent="0.3">
      <c r="A4" s="209" t="s">
        <v>6</v>
      </c>
      <c r="B4" s="209"/>
      <c r="C4" s="209"/>
      <c r="D4" s="209"/>
      <c r="E4" s="209"/>
      <c r="F4" s="209"/>
      <c r="G4" s="209"/>
      <c r="H4" s="209"/>
    </row>
    <row r="5" spans="1:10" ht="18.75" x14ac:dyDescent="0.3">
      <c r="A5" s="209" t="s">
        <v>211</v>
      </c>
      <c r="B5" s="209"/>
      <c r="C5" s="209"/>
      <c r="D5" s="209"/>
      <c r="E5" s="209"/>
      <c r="F5" s="209"/>
      <c r="G5" s="209"/>
      <c r="H5" s="209"/>
    </row>
    <row r="6" spans="1:10" ht="18.75" x14ac:dyDescent="0.3">
      <c r="A6" s="209" t="s">
        <v>233</v>
      </c>
      <c r="B6" s="209"/>
      <c r="C6" s="209"/>
      <c r="D6" s="209"/>
      <c r="E6" s="209"/>
      <c r="F6" s="209"/>
      <c r="G6" s="209"/>
      <c r="H6" s="209"/>
    </row>
    <row r="8" spans="1:10" x14ac:dyDescent="0.25">
      <c r="C8" s="206" t="s">
        <v>229</v>
      </c>
      <c r="D8" s="206"/>
      <c r="E8" s="206" t="s">
        <v>212</v>
      </c>
      <c r="F8" s="206"/>
      <c r="G8" s="206" t="s">
        <v>232</v>
      </c>
      <c r="H8" s="206"/>
    </row>
    <row r="9" spans="1:10" x14ac:dyDescent="0.25">
      <c r="A9" s="126" t="s">
        <v>52</v>
      </c>
      <c r="B9" s="126" t="s">
        <v>53</v>
      </c>
      <c r="C9" s="126" t="s">
        <v>230</v>
      </c>
      <c r="D9" s="126" t="s">
        <v>231</v>
      </c>
      <c r="E9" s="126" t="s">
        <v>230</v>
      </c>
      <c r="F9" s="126" t="s">
        <v>231</v>
      </c>
      <c r="G9" s="126" t="s">
        <v>230</v>
      </c>
      <c r="H9" s="126" t="s">
        <v>231</v>
      </c>
    </row>
    <row r="10" spans="1:10" x14ac:dyDescent="0.25">
      <c r="A10" s="126">
        <v>1101</v>
      </c>
      <c r="B10" s="126" t="s">
        <v>55</v>
      </c>
      <c r="C10" s="52"/>
      <c r="D10" s="52"/>
      <c r="E10" s="187">
        <f>+E11</f>
        <v>5000</v>
      </c>
      <c r="F10" s="187"/>
      <c r="G10" s="188">
        <f>+E10</f>
        <v>5000</v>
      </c>
      <c r="H10" s="188"/>
    </row>
    <row r="11" spans="1:10" x14ac:dyDescent="0.25">
      <c r="A11" s="126" t="s">
        <v>56</v>
      </c>
      <c r="B11" s="126" t="s">
        <v>57</v>
      </c>
      <c r="C11" s="145">
        <v>0</v>
      </c>
      <c r="D11" s="52">
        <v>0</v>
      </c>
      <c r="E11" s="187">
        <f>+'ESQUEMAS DE MAYOR'!B4</f>
        <v>5000</v>
      </c>
      <c r="F11" s="187"/>
      <c r="G11" s="188">
        <f>+E11</f>
        <v>5000</v>
      </c>
      <c r="H11" s="188"/>
    </row>
    <row r="12" spans="1:10" x14ac:dyDescent="0.25">
      <c r="A12" s="126">
        <v>1102</v>
      </c>
      <c r="B12" s="126" t="s">
        <v>58</v>
      </c>
      <c r="C12" s="52"/>
      <c r="D12" s="52"/>
      <c r="E12" s="187">
        <f>+E13</f>
        <v>98573.760000000009</v>
      </c>
      <c r="F12" s="187">
        <f>+F13</f>
        <v>24636.080000000002</v>
      </c>
      <c r="G12" s="188">
        <f>+G13</f>
        <v>73937.680000000008</v>
      </c>
      <c r="H12" s="188"/>
    </row>
    <row r="13" spans="1:10" x14ac:dyDescent="0.25">
      <c r="A13" s="126" t="s">
        <v>60</v>
      </c>
      <c r="B13" s="126" t="s">
        <v>59</v>
      </c>
      <c r="C13" s="52">
        <v>0</v>
      </c>
      <c r="D13" s="52">
        <v>0</v>
      </c>
      <c r="E13" s="187">
        <f>+'ESQUEMAS DE MAYOR'!F7</f>
        <v>98573.760000000009</v>
      </c>
      <c r="F13" s="187">
        <f>+'ESQUEMAS DE MAYOR'!G7</f>
        <v>24636.080000000002</v>
      </c>
      <c r="G13" s="188">
        <f>+E13-F13</f>
        <v>73937.680000000008</v>
      </c>
      <c r="H13" s="188"/>
    </row>
    <row r="14" spans="1:10" x14ac:dyDescent="0.25">
      <c r="A14" s="126">
        <v>1103</v>
      </c>
      <c r="B14" s="126" t="s">
        <v>65</v>
      </c>
      <c r="C14" s="52"/>
      <c r="D14" s="52"/>
      <c r="E14" s="187">
        <f>+E15</f>
        <v>40600</v>
      </c>
      <c r="F14" s="187">
        <f>+F15</f>
        <v>28000</v>
      </c>
      <c r="G14" s="188">
        <f>+G15</f>
        <v>12600</v>
      </c>
      <c r="H14" s="188"/>
    </row>
    <row r="15" spans="1:10" x14ac:dyDescent="0.25">
      <c r="A15" s="126" t="s">
        <v>66</v>
      </c>
      <c r="B15" s="126" t="s">
        <v>67</v>
      </c>
      <c r="C15" s="52">
        <v>0</v>
      </c>
      <c r="D15" s="52">
        <v>0</v>
      </c>
      <c r="E15" s="187">
        <f>+'ESQUEMAS DE MAYOR'!J28</f>
        <v>40600</v>
      </c>
      <c r="F15" s="187">
        <f>+'ESQUEMAS DE MAYOR'!K28</f>
        <v>28000</v>
      </c>
      <c r="G15" s="188">
        <f>+E15-F15</f>
        <v>12600</v>
      </c>
      <c r="H15" s="188">
        <v>0</v>
      </c>
    </row>
    <row r="16" spans="1:10" x14ac:dyDescent="0.25">
      <c r="A16" s="126">
        <v>1104</v>
      </c>
      <c r="B16" s="126" t="s">
        <v>68</v>
      </c>
      <c r="C16" s="52"/>
      <c r="D16" s="52"/>
      <c r="E16" s="187">
        <f>+E17</f>
        <v>20250</v>
      </c>
      <c r="F16" s="187">
        <f>+F17</f>
        <v>15690.857142857143</v>
      </c>
      <c r="G16" s="188">
        <f>+G17</f>
        <v>4559.1428571428569</v>
      </c>
      <c r="H16" s="188"/>
      <c r="J16" s="148"/>
    </row>
    <row r="17" spans="1:8" x14ac:dyDescent="0.25">
      <c r="A17" s="126" t="s">
        <v>70</v>
      </c>
      <c r="B17" s="126" t="s">
        <v>69</v>
      </c>
      <c r="C17" s="52">
        <v>0</v>
      </c>
      <c r="D17" s="52">
        <v>0</v>
      </c>
      <c r="E17" s="187">
        <f>+'ESQUEMAS DE MAYOR'!N8</f>
        <v>20250</v>
      </c>
      <c r="F17" s="187">
        <f>+'ESQUEMAS DE MAYOR'!O8</f>
        <v>15690.857142857143</v>
      </c>
      <c r="G17" s="188">
        <f>+E17-F17</f>
        <v>4559.1428571428569</v>
      </c>
      <c r="H17" s="188"/>
    </row>
    <row r="18" spans="1:8" x14ac:dyDescent="0.25">
      <c r="A18" s="126">
        <v>1105</v>
      </c>
      <c r="B18" s="126" t="s">
        <v>71</v>
      </c>
      <c r="C18" s="52"/>
      <c r="D18" s="52"/>
      <c r="E18" s="187">
        <f>+E19</f>
        <v>3398.08</v>
      </c>
      <c r="F18" s="188"/>
      <c r="G18" s="188">
        <f>+G19</f>
        <v>3398.08</v>
      </c>
      <c r="H18" s="188"/>
    </row>
    <row r="19" spans="1:8" x14ac:dyDescent="0.25">
      <c r="A19" s="126" t="s">
        <v>72</v>
      </c>
      <c r="B19" s="44">
        <v>0.16</v>
      </c>
      <c r="C19" s="52">
        <v>0</v>
      </c>
      <c r="D19" s="52">
        <v>0</v>
      </c>
      <c r="E19" s="187">
        <f>+'ESQUEMAS DE MAYOR'!N23</f>
        <v>3398.08</v>
      </c>
      <c r="F19" s="188"/>
      <c r="G19" s="188">
        <f>+E19</f>
        <v>3398.08</v>
      </c>
      <c r="H19" s="188"/>
    </row>
    <row r="20" spans="1:8" x14ac:dyDescent="0.25">
      <c r="A20" s="126">
        <v>1106</v>
      </c>
      <c r="B20" s="126" t="s">
        <v>73</v>
      </c>
      <c r="C20" s="52"/>
      <c r="D20" s="52"/>
      <c r="E20" s="187">
        <f>+E21</f>
        <v>1200</v>
      </c>
      <c r="F20" s="188">
        <f>+F21</f>
        <v>0</v>
      </c>
      <c r="G20" s="188">
        <f>+G21</f>
        <v>1200</v>
      </c>
      <c r="H20" s="188"/>
    </row>
    <row r="21" spans="1:8" x14ac:dyDescent="0.25">
      <c r="A21" s="126" t="s">
        <v>74</v>
      </c>
      <c r="B21" s="44">
        <v>0.16</v>
      </c>
      <c r="C21" s="52">
        <v>0</v>
      </c>
      <c r="D21" s="52">
        <v>0</v>
      </c>
      <c r="E21" s="187">
        <f>+'ESQUEMAS DE MAYOR'!J12</f>
        <v>1200</v>
      </c>
      <c r="F21" s="188">
        <v>0</v>
      </c>
      <c r="G21" s="188">
        <f>+E21-F21</f>
        <v>1200</v>
      </c>
      <c r="H21" s="188"/>
    </row>
    <row r="22" spans="1:8" x14ac:dyDescent="0.25">
      <c r="A22" s="126">
        <v>1108</v>
      </c>
      <c r="B22" s="126" t="s">
        <v>75</v>
      </c>
      <c r="C22" s="52"/>
      <c r="D22" s="52"/>
      <c r="E22" s="188">
        <v>0</v>
      </c>
      <c r="F22" s="188">
        <v>0</v>
      </c>
      <c r="G22" s="188">
        <f>+G23</f>
        <v>0</v>
      </c>
      <c r="H22" s="188"/>
    </row>
    <row r="23" spans="1:8" x14ac:dyDescent="0.25">
      <c r="A23" s="126" t="s">
        <v>76</v>
      </c>
      <c r="B23" s="44" t="s">
        <v>77</v>
      </c>
      <c r="C23" s="52">
        <v>0</v>
      </c>
      <c r="D23" s="52">
        <v>0</v>
      </c>
      <c r="E23" s="188">
        <v>0</v>
      </c>
      <c r="F23" s="188">
        <v>0</v>
      </c>
      <c r="G23" s="188">
        <f>+E23</f>
        <v>0</v>
      </c>
      <c r="H23" s="188"/>
    </row>
    <row r="24" spans="1:8" x14ac:dyDescent="0.25">
      <c r="A24" s="182">
        <v>1109</v>
      </c>
      <c r="B24" s="44" t="s">
        <v>284</v>
      </c>
      <c r="C24" s="52"/>
      <c r="D24" s="52"/>
      <c r="E24" s="188">
        <v>0</v>
      </c>
      <c r="F24" s="188">
        <f>+F25</f>
        <v>0</v>
      </c>
      <c r="G24" s="188">
        <v>0</v>
      </c>
      <c r="H24" s="188">
        <f>+F24</f>
        <v>0</v>
      </c>
    </row>
    <row r="25" spans="1:8" x14ac:dyDescent="0.25">
      <c r="A25" s="182" t="s">
        <v>285</v>
      </c>
      <c r="B25" s="44" t="s">
        <v>286</v>
      </c>
      <c r="C25" s="52">
        <v>0</v>
      </c>
      <c r="D25" s="52">
        <v>0</v>
      </c>
      <c r="E25" s="188">
        <v>0</v>
      </c>
      <c r="F25" s="188">
        <v>0</v>
      </c>
      <c r="G25" s="188">
        <v>0</v>
      </c>
      <c r="H25" s="188">
        <f>+F25</f>
        <v>0</v>
      </c>
    </row>
    <row r="26" spans="1:8" x14ac:dyDescent="0.25">
      <c r="A26" s="186">
        <v>1110</v>
      </c>
      <c r="B26" s="44" t="s">
        <v>288</v>
      </c>
      <c r="C26" s="52">
        <v>0</v>
      </c>
      <c r="D26" s="52">
        <v>0</v>
      </c>
      <c r="E26" s="188">
        <v>0</v>
      </c>
      <c r="F26" s="188">
        <f>+F27</f>
        <v>0</v>
      </c>
      <c r="G26" s="188">
        <v>0</v>
      </c>
      <c r="H26" s="188">
        <f>+H27</f>
        <v>0</v>
      </c>
    </row>
    <row r="27" spans="1:8" x14ac:dyDescent="0.25">
      <c r="A27" s="186" t="s">
        <v>287</v>
      </c>
      <c r="B27" s="44" t="s">
        <v>289</v>
      </c>
      <c r="C27" s="52">
        <v>0</v>
      </c>
      <c r="D27" s="52">
        <v>0</v>
      </c>
      <c r="E27" s="188">
        <v>0</v>
      </c>
      <c r="F27" s="188">
        <v>0</v>
      </c>
      <c r="G27" s="188">
        <v>0</v>
      </c>
      <c r="H27" s="188">
        <f>+F27</f>
        <v>0</v>
      </c>
    </row>
    <row r="28" spans="1:8" x14ac:dyDescent="0.25">
      <c r="A28" s="186">
        <v>1111</v>
      </c>
      <c r="B28" s="44" t="s">
        <v>313</v>
      </c>
      <c r="C28" s="52">
        <v>0</v>
      </c>
      <c r="D28" s="52">
        <v>0</v>
      </c>
      <c r="E28" s="188">
        <v>0</v>
      </c>
      <c r="F28" s="188">
        <f>+F29</f>
        <v>0</v>
      </c>
      <c r="G28" s="188">
        <v>0</v>
      </c>
      <c r="H28" s="188">
        <f>+F28</f>
        <v>0</v>
      </c>
    </row>
    <row r="29" spans="1:8" x14ac:dyDescent="0.25">
      <c r="A29" s="186" t="s">
        <v>312</v>
      </c>
      <c r="B29" s="44" t="s">
        <v>314</v>
      </c>
      <c r="C29" s="52">
        <v>0</v>
      </c>
      <c r="D29" s="52">
        <v>0</v>
      </c>
      <c r="E29" s="188">
        <v>0</v>
      </c>
      <c r="F29" s="188">
        <v>0</v>
      </c>
      <c r="G29" s="188">
        <v>0</v>
      </c>
      <c r="H29" s="188">
        <f>+H28</f>
        <v>0</v>
      </c>
    </row>
    <row r="30" spans="1:8" x14ac:dyDescent="0.25">
      <c r="A30" s="186">
        <v>1112</v>
      </c>
      <c r="B30" s="44" t="s">
        <v>316</v>
      </c>
      <c r="C30" s="52">
        <v>0</v>
      </c>
      <c r="D30" s="52">
        <v>0</v>
      </c>
      <c r="E30" s="188">
        <v>0</v>
      </c>
      <c r="F30" s="188">
        <f>+F31</f>
        <v>0</v>
      </c>
      <c r="G30" s="188">
        <v>0</v>
      </c>
      <c r="H30" s="188">
        <f>+H31</f>
        <v>0</v>
      </c>
    </row>
    <row r="31" spans="1:8" x14ac:dyDescent="0.25">
      <c r="A31" s="186" t="s">
        <v>315</v>
      </c>
      <c r="B31" s="44" t="s">
        <v>317</v>
      </c>
      <c r="C31" s="52">
        <v>0</v>
      </c>
      <c r="D31" s="52">
        <v>0</v>
      </c>
      <c r="E31" s="188">
        <v>0</v>
      </c>
      <c r="F31" s="188">
        <v>0</v>
      </c>
      <c r="G31" s="188">
        <v>0</v>
      </c>
      <c r="H31" s="188">
        <f>+F31</f>
        <v>0</v>
      </c>
    </row>
    <row r="32" spans="1:8" x14ac:dyDescent="0.25">
      <c r="A32" s="126">
        <v>1201</v>
      </c>
      <c r="B32" s="186" t="s">
        <v>290</v>
      </c>
      <c r="C32" s="52">
        <v>0</v>
      </c>
      <c r="D32" s="52">
        <v>0</v>
      </c>
      <c r="E32" s="187">
        <f>+E33</f>
        <v>500000</v>
      </c>
      <c r="F32" s="188">
        <v>0</v>
      </c>
      <c r="G32" s="188">
        <f>+G33</f>
        <v>500000</v>
      </c>
      <c r="H32" s="188">
        <v>0</v>
      </c>
    </row>
    <row r="33" spans="1:8" x14ac:dyDescent="0.25">
      <c r="A33" s="126" t="s">
        <v>79</v>
      </c>
      <c r="B33" s="44" t="s">
        <v>291</v>
      </c>
      <c r="C33" s="52">
        <v>0</v>
      </c>
      <c r="D33" s="52">
        <v>0</v>
      </c>
      <c r="E33" s="187">
        <f>+'ESQUEMAS DE MAYOR'!N33</f>
        <v>500000</v>
      </c>
      <c r="F33" s="188">
        <v>0</v>
      </c>
      <c r="G33" s="188">
        <f>+E33</f>
        <v>500000</v>
      </c>
      <c r="H33" s="188">
        <v>0</v>
      </c>
    </row>
    <row r="34" spans="1:8" x14ac:dyDescent="0.25">
      <c r="A34" s="126">
        <v>1202</v>
      </c>
      <c r="B34" s="186" t="s">
        <v>292</v>
      </c>
      <c r="C34" s="52"/>
      <c r="D34" s="52"/>
      <c r="E34" s="187">
        <f>+E35</f>
        <v>150000</v>
      </c>
      <c r="F34" s="188">
        <v>0</v>
      </c>
      <c r="G34" s="188">
        <f>+G35</f>
        <v>150000</v>
      </c>
      <c r="H34" s="188">
        <v>0</v>
      </c>
    </row>
    <row r="35" spans="1:8" x14ac:dyDescent="0.25">
      <c r="A35" s="126" t="s">
        <v>80</v>
      </c>
      <c r="B35" s="44" t="s">
        <v>293</v>
      </c>
      <c r="C35" s="52">
        <v>0</v>
      </c>
      <c r="D35" s="52">
        <v>0</v>
      </c>
      <c r="E35" s="187">
        <f>+'ESQUEMAS DE MAYOR'!B41</f>
        <v>150000</v>
      </c>
      <c r="F35" s="188">
        <v>0</v>
      </c>
      <c r="G35" s="188">
        <f>+E35</f>
        <v>150000</v>
      </c>
      <c r="H35" s="188">
        <v>0</v>
      </c>
    </row>
    <row r="36" spans="1:8" x14ac:dyDescent="0.25">
      <c r="A36" s="126">
        <v>1203</v>
      </c>
      <c r="B36" s="44" t="s">
        <v>305</v>
      </c>
      <c r="C36" s="52"/>
      <c r="D36" s="52"/>
      <c r="E36" s="187">
        <f>+E37</f>
        <v>5000</v>
      </c>
      <c r="F36" s="188">
        <v>0</v>
      </c>
      <c r="G36" s="188">
        <f>+G37</f>
        <v>5000</v>
      </c>
      <c r="H36" s="188">
        <v>0</v>
      </c>
    </row>
    <row r="37" spans="1:8" x14ac:dyDescent="0.25">
      <c r="A37" s="126" t="s">
        <v>138</v>
      </c>
      <c r="B37" s="44" t="s">
        <v>306</v>
      </c>
      <c r="C37" s="52">
        <v>0</v>
      </c>
      <c r="D37" s="52">
        <v>0</v>
      </c>
      <c r="E37" s="187">
        <f>+'ESQUEMAS DE MAYOR'!B13</f>
        <v>5000</v>
      </c>
      <c r="F37" s="188">
        <v>0</v>
      </c>
      <c r="G37" s="188">
        <f>+E37</f>
        <v>5000</v>
      </c>
      <c r="H37" s="188">
        <v>0</v>
      </c>
    </row>
    <row r="38" spans="1:8" x14ac:dyDescent="0.25">
      <c r="A38" s="186">
        <v>1204</v>
      </c>
      <c r="B38" s="44" t="s">
        <v>308</v>
      </c>
      <c r="C38" s="52">
        <v>0</v>
      </c>
      <c r="D38" s="52">
        <v>0</v>
      </c>
      <c r="E38" s="187">
        <f>+E39</f>
        <v>10000</v>
      </c>
      <c r="F38" s="188">
        <f>+F39</f>
        <v>0</v>
      </c>
      <c r="G38" s="188">
        <f>+G39</f>
        <v>10000</v>
      </c>
      <c r="H38" s="188">
        <v>0</v>
      </c>
    </row>
    <row r="39" spans="1:8" x14ac:dyDescent="0.25">
      <c r="A39" s="186" t="s">
        <v>307</v>
      </c>
      <c r="B39" s="44" t="s">
        <v>309</v>
      </c>
      <c r="C39" s="52">
        <v>0</v>
      </c>
      <c r="D39" s="52">
        <v>0</v>
      </c>
      <c r="E39" s="187">
        <f>+'ESQUEMAS DE MAYOR'!N27</f>
        <v>10000</v>
      </c>
      <c r="F39" s="188">
        <v>0</v>
      </c>
      <c r="G39" s="188">
        <f>+E39-F39</f>
        <v>10000</v>
      </c>
      <c r="H39" s="188">
        <v>0</v>
      </c>
    </row>
    <row r="40" spans="1:8" x14ac:dyDescent="0.25">
      <c r="A40" s="126">
        <v>2101</v>
      </c>
      <c r="B40" s="44" t="s">
        <v>81</v>
      </c>
      <c r="C40" s="52"/>
      <c r="D40" s="52"/>
      <c r="E40" s="188">
        <f>+E41</f>
        <v>0</v>
      </c>
      <c r="F40" s="187">
        <f>+F41</f>
        <v>8700</v>
      </c>
      <c r="G40" s="188">
        <v>0</v>
      </c>
      <c r="H40" s="188">
        <f>+H41</f>
        <v>8700</v>
      </c>
    </row>
    <row r="41" spans="1:8" x14ac:dyDescent="0.25">
      <c r="A41" s="126" t="s">
        <v>82</v>
      </c>
      <c r="B41" s="44" t="s">
        <v>83</v>
      </c>
      <c r="C41" s="52">
        <v>0</v>
      </c>
      <c r="D41" s="52">
        <v>0</v>
      </c>
      <c r="E41" s="188">
        <v>0</v>
      </c>
      <c r="F41" s="187">
        <f>+'ESQUEMAS DE MAYOR'!O12</f>
        <v>8700</v>
      </c>
      <c r="G41" s="188">
        <v>0</v>
      </c>
      <c r="H41" s="188">
        <f>+F41</f>
        <v>8700</v>
      </c>
    </row>
    <row r="42" spans="1:8" x14ac:dyDescent="0.25">
      <c r="A42" s="126">
        <v>2102</v>
      </c>
      <c r="B42" s="126" t="s">
        <v>85</v>
      </c>
      <c r="C42" s="52"/>
      <c r="D42" s="52"/>
      <c r="E42" s="188">
        <f>+E43</f>
        <v>0</v>
      </c>
      <c r="F42" s="187">
        <f>+F43</f>
        <v>6699.8289655172421</v>
      </c>
      <c r="G42" s="188">
        <v>0</v>
      </c>
      <c r="H42" s="188">
        <f>+H43</f>
        <v>6699.8289655172421</v>
      </c>
    </row>
    <row r="43" spans="1:8" x14ac:dyDescent="0.25">
      <c r="A43" s="126" t="s">
        <v>86</v>
      </c>
      <c r="B43" s="44">
        <v>0.16</v>
      </c>
      <c r="C43" s="52">
        <v>0</v>
      </c>
      <c r="D43" s="52">
        <v>0</v>
      </c>
      <c r="E43" s="188">
        <v>0</v>
      </c>
      <c r="F43" s="187">
        <f>+'ESQUEMAS DE MAYOR'!G21</f>
        <v>6699.8289655172421</v>
      </c>
      <c r="G43" s="188">
        <v>0</v>
      </c>
      <c r="H43" s="188">
        <f>+F43</f>
        <v>6699.8289655172421</v>
      </c>
    </row>
    <row r="44" spans="1:8" x14ac:dyDescent="0.25">
      <c r="A44" s="126">
        <v>2103</v>
      </c>
      <c r="B44" s="126" t="s">
        <v>89</v>
      </c>
      <c r="C44" s="52"/>
      <c r="D44" s="52"/>
      <c r="E44" s="187">
        <f>+E45</f>
        <v>3862.0689655172418</v>
      </c>
      <c r="F44" s="187">
        <f>+F45</f>
        <v>5600</v>
      </c>
      <c r="G44" s="188">
        <v>0</v>
      </c>
      <c r="H44" s="188">
        <f>+H45</f>
        <v>1737.9310344827582</v>
      </c>
    </row>
    <row r="45" spans="1:8" x14ac:dyDescent="0.25">
      <c r="A45" s="126" t="s">
        <v>88</v>
      </c>
      <c r="B45" s="44">
        <v>0.16</v>
      </c>
      <c r="C45" s="52">
        <v>0</v>
      </c>
      <c r="D45" s="52">
        <v>0</v>
      </c>
      <c r="E45" s="187">
        <f>+'ESQUEMAS DE MAYOR'!J19+'ESQUEMAS DE MAYOR'!J20</f>
        <v>3862.0689655172418</v>
      </c>
      <c r="F45" s="187">
        <f>+'ESQUEMAS DE MAYOR'!K22</f>
        <v>5600</v>
      </c>
      <c r="G45" s="188">
        <v>0</v>
      </c>
      <c r="H45" s="188">
        <f>+F45-E45</f>
        <v>1737.9310344827582</v>
      </c>
    </row>
    <row r="46" spans="1:8" x14ac:dyDescent="0.25">
      <c r="A46" s="126">
        <v>2104</v>
      </c>
      <c r="B46" s="44" t="s">
        <v>107</v>
      </c>
      <c r="C46" s="52"/>
      <c r="D46" s="52"/>
      <c r="E46" s="188">
        <v>0</v>
      </c>
      <c r="F46" s="188">
        <f>+F49+F48+F47</f>
        <v>0</v>
      </c>
      <c r="G46" s="188">
        <v>0</v>
      </c>
      <c r="H46" s="188">
        <f>+H47+H48+H49</f>
        <v>0</v>
      </c>
    </row>
    <row r="47" spans="1:8" x14ac:dyDescent="0.25">
      <c r="A47" s="126" t="s">
        <v>108</v>
      </c>
      <c r="B47" s="44" t="s">
        <v>109</v>
      </c>
      <c r="C47" s="52">
        <v>0</v>
      </c>
      <c r="D47" s="52">
        <v>0</v>
      </c>
      <c r="E47" s="188">
        <v>0</v>
      </c>
      <c r="F47" s="188">
        <v>0</v>
      </c>
      <c r="G47" s="188">
        <v>0</v>
      </c>
      <c r="H47" s="188">
        <f>+F47</f>
        <v>0</v>
      </c>
    </row>
    <row r="48" spans="1:8" x14ac:dyDescent="0.25">
      <c r="A48" s="126" t="s">
        <v>110</v>
      </c>
      <c r="B48" s="44" t="s">
        <v>111</v>
      </c>
      <c r="C48" s="52">
        <v>0</v>
      </c>
      <c r="D48" s="52">
        <v>0</v>
      </c>
      <c r="E48" s="188">
        <v>0</v>
      </c>
      <c r="F48" s="188">
        <v>0</v>
      </c>
      <c r="G48" s="188">
        <v>0</v>
      </c>
      <c r="H48" s="188">
        <f>+F48</f>
        <v>0</v>
      </c>
    </row>
    <row r="49" spans="1:8" x14ac:dyDescent="0.25">
      <c r="A49" s="126" t="s">
        <v>178</v>
      </c>
      <c r="B49" s="44" t="s">
        <v>173</v>
      </c>
      <c r="C49" s="52">
        <v>0</v>
      </c>
      <c r="D49" s="52">
        <v>0</v>
      </c>
      <c r="E49" s="188">
        <v>0</v>
      </c>
      <c r="F49" s="188">
        <v>0</v>
      </c>
      <c r="G49" s="188">
        <v>0</v>
      </c>
      <c r="H49" s="188">
        <f>+F49</f>
        <v>0</v>
      </c>
    </row>
    <row r="50" spans="1:8" x14ac:dyDescent="0.25">
      <c r="A50" s="186" t="s">
        <v>300</v>
      </c>
      <c r="B50" s="44" t="s">
        <v>301</v>
      </c>
      <c r="C50" s="52">
        <v>0</v>
      </c>
      <c r="D50" s="52">
        <v>0</v>
      </c>
      <c r="E50" s="188"/>
      <c r="F50" s="188">
        <v>0</v>
      </c>
      <c r="G50" s="188"/>
      <c r="H50" s="188">
        <f>+F50</f>
        <v>0</v>
      </c>
    </row>
    <row r="51" spans="1:8" x14ac:dyDescent="0.25">
      <c r="A51" s="186">
        <v>2105</v>
      </c>
      <c r="B51" s="44" t="s">
        <v>294</v>
      </c>
      <c r="C51" s="52">
        <v>0</v>
      </c>
      <c r="D51" s="52">
        <v>0</v>
      </c>
      <c r="E51" s="188">
        <v>0</v>
      </c>
      <c r="F51" s="188">
        <f>+F52</f>
        <v>0</v>
      </c>
      <c r="G51" s="188"/>
      <c r="H51" s="188">
        <f>+H52</f>
        <v>0</v>
      </c>
    </row>
    <row r="52" spans="1:8" x14ac:dyDescent="0.25">
      <c r="A52" s="186" t="s">
        <v>295</v>
      </c>
      <c r="B52" s="44" t="s">
        <v>296</v>
      </c>
      <c r="C52" s="52">
        <v>0</v>
      </c>
      <c r="D52" s="52">
        <v>0</v>
      </c>
      <c r="E52" s="188">
        <v>0</v>
      </c>
      <c r="F52" s="188">
        <v>0</v>
      </c>
      <c r="G52" s="188"/>
      <c r="H52" s="188">
        <f>+F52</f>
        <v>0</v>
      </c>
    </row>
    <row r="53" spans="1:8" x14ac:dyDescent="0.25">
      <c r="A53" s="186">
        <v>2106</v>
      </c>
      <c r="B53" s="44" t="s">
        <v>298</v>
      </c>
      <c r="C53" s="52">
        <v>0</v>
      </c>
      <c r="D53" s="52">
        <v>0</v>
      </c>
      <c r="E53" s="188">
        <v>0</v>
      </c>
      <c r="F53" s="187">
        <f>+F54</f>
        <v>30000</v>
      </c>
      <c r="G53" s="188">
        <v>0</v>
      </c>
      <c r="H53" s="188">
        <f>+H54</f>
        <v>30000</v>
      </c>
    </row>
    <row r="54" spans="1:8" x14ac:dyDescent="0.25">
      <c r="A54" s="186" t="s">
        <v>297</v>
      </c>
      <c r="B54" s="44" t="s">
        <v>299</v>
      </c>
      <c r="C54" s="52">
        <v>0</v>
      </c>
      <c r="D54" s="52">
        <v>0</v>
      </c>
      <c r="E54" s="188">
        <v>0</v>
      </c>
      <c r="F54" s="187">
        <f>+'ESQUEMAS DE MAYOR'!G40</f>
        <v>30000</v>
      </c>
      <c r="G54" s="188">
        <v>0</v>
      </c>
      <c r="H54" s="188">
        <f>+F54</f>
        <v>30000</v>
      </c>
    </row>
    <row r="55" spans="1:8" x14ac:dyDescent="0.25">
      <c r="A55" s="126">
        <v>3000</v>
      </c>
      <c r="B55" s="126" t="s">
        <v>90</v>
      </c>
      <c r="C55" s="52"/>
      <c r="D55" s="52"/>
      <c r="E55" s="188">
        <v>0</v>
      </c>
      <c r="F55" s="187">
        <f>+F56</f>
        <v>680000</v>
      </c>
      <c r="G55" s="188">
        <v>0</v>
      </c>
      <c r="H55" s="188">
        <f>+H56</f>
        <v>680000</v>
      </c>
    </row>
    <row r="56" spans="1:8" x14ac:dyDescent="0.25">
      <c r="A56" s="126" t="s">
        <v>93</v>
      </c>
      <c r="B56" s="44" t="s">
        <v>92</v>
      </c>
      <c r="C56" s="52">
        <v>0</v>
      </c>
      <c r="D56" s="52">
        <v>0</v>
      </c>
      <c r="E56" s="188"/>
      <c r="F56" s="187">
        <f>+'ESQUEMAS DE MAYOR'!G13</f>
        <v>680000</v>
      </c>
      <c r="G56" s="188">
        <v>0</v>
      </c>
      <c r="H56" s="188">
        <f>+F56</f>
        <v>680000</v>
      </c>
    </row>
    <row r="57" spans="1:8" x14ac:dyDescent="0.25">
      <c r="A57" s="126">
        <v>4000</v>
      </c>
      <c r="B57" s="126" t="s">
        <v>94</v>
      </c>
      <c r="C57" s="52"/>
      <c r="D57" s="52"/>
      <c r="E57" s="187">
        <f>+E58</f>
        <v>5464</v>
      </c>
      <c r="F57" s="187">
        <f>+F58</f>
        <v>58200</v>
      </c>
      <c r="G57" s="188">
        <v>0</v>
      </c>
      <c r="H57" s="188">
        <f>+H58</f>
        <v>52736</v>
      </c>
    </row>
    <row r="58" spans="1:8" x14ac:dyDescent="0.25">
      <c r="A58" s="126" t="s">
        <v>96</v>
      </c>
      <c r="B58" s="44">
        <v>0.16</v>
      </c>
      <c r="C58" s="52">
        <v>0</v>
      </c>
      <c r="D58" s="52">
        <v>0</v>
      </c>
      <c r="E58" s="187">
        <f>+'ESQUEMAS DE MAYOR'!B21</f>
        <v>5464</v>
      </c>
      <c r="F58" s="187">
        <f>+'ESQUEMAS DE MAYOR'!C21</f>
        <v>58200</v>
      </c>
      <c r="G58" s="188">
        <v>0</v>
      </c>
      <c r="H58" s="188">
        <f>+F58-E58</f>
        <v>52736</v>
      </c>
    </row>
    <row r="59" spans="1:8" x14ac:dyDescent="0.25">
      <c r="A59" s="126">
        <v>5101</v>
      </c>
      <c r="B59" s="126" t="s">
        <v>98</v>
      </c>
      <c r="C59" s="52">
        <v>0</v>
      </c>
      <c r="D59" s="52">
        <v>0</v>
      </c>
      <c r="E59" s="187">
        <f>+'ESQUEMAS DE MAYOR'!B28</f>
        <v>15528.857142857143</v>
      </c>
      <c r="F59" s="187">
        <f>+'ESQUEMAS DE MAYOR'!C28</f>
        <v>1350</v>
      </c>
      <c r="G59" s="188">
        <f>+E59-F59</f>
        <v>14178.857142857143</v>
      </c>
      <c r="H59" s="188">
        <v>0</v>
      </c>
    </row>
    <row r="60" spans="1:8" x14ac:dyDescent="0.25">
      <c r="A60" s="126">
        <v>5102</v>
      </c>
      <c r="B60" s="44" t="s">
        <v>100</v>
      </c>
      <c r="C60" s="52"/>
      <c r="D60" s="52"/>
      <c r="E60" s="185">
        <v>0</v>
      </c>
      <c r="F60" s="185">
        <v>0</v>
      </c>
      <c r="G60" s="185">
        <f>+G61+G65</f>
        <v>0</v>
      </c>
      <c r="H60" s="185">
        <v>0</v>
      </c>
    </row>
    <row r="61" spans="1:8" x14ac:dyDescent="0.25">
      <c r="A61" s="126" t="s">
        <v>101</v>
      </c>
      <c r="B61" s="126" t="s">
        <v>102</v>
      </c>
      <c r="C61" s="52">
        <v>0</v>
      </c>
      <c r="D61" s="52">
        <v>0</v>
      </c>
      <c r="E61" s="185"/>
      <c r="F61" s="185">
        <v>0</v>
      </c>
      <c r="G61" s="185">
        <f>+E61</f>
        <v>0</v>
      </c>
      <c r="H61" s="185">
        <v>0</v>
      </c>
    </row>
    <row r="62" spans="1:8" x14ac:dyDescent="0.25">
      <c r="A62" s="126" t="s">
        <v>103</v>
      </c>
      <c r="B62" s="44" t="s">
        <v>104</v>
      </c>
      <c r="C62" s="52">
        <v>0</v>
      </c>
      <c r="D62" s="52">
        <v>0</v>
      </c>
      <c r="E62" s="185">
        <v>0</v>
      </c>
      <c r="F62" s="185">
        <v>0</v>
      </c>
      <c r="G62" s="185">
        <v>0</v>
      </c>
      <c r="H62" s="185">
        <v>0</v>
      </c>
    </row>
    <row r="63" spans="1:8" x14ac:dyDescent="0.25">
      <c r="A63" s="126" t="s">
        <v>105</v>
      </c>
      <c r="B63" s="126" t="s">
        <v>106</v>
      </c>
      <c r="C63" s="52">
        <v>0</v>
      </c>
      <c r="D63" s="52">
        <v>0</v>
      </c>
      <c r="E63" s="185">
        <v>0</v>
      </c>
      <c r="F63" s="185">
        <v>0</v>
      </c>
      <c r="G63" s="185">
        <v>0</v>
      </c>
      <c r="H63" s="185">
        <v>0</v>
      </c>
    </row>
    <row r="64" spans="1:8" x14ac:dyDescent="0.25">
      <c r="A64" s="126" t="s">
        <v>174</v>
      </c>
      <c r="B64" s="126" t="s">
        <v>175</v>
      </c>
      <c r="C64" s="52">
        <v>0</v>
      </c>
      <c r="D64" s="52">
        <v>0</v>
      </c>
      <c r="E64" s="185">
        <v>0</v>
      </c>
      <c r="F64" s="185">
        <v>0</v>
      </c>
      <c r="G64" s="185">
        <v>0</v>
      </c>
      <c r="H64" s="185">
        <v>0</v>
      </c>
    </row>
    <row r="65" spans="1:8" x14ac:dyDescent="0.25">
      <c r="A65" s="126" t="s">
        <v>176</v>
      </c>
      <c r="B65" s="126" t="s">
        <v>177</v>
      </c>
      <c r="C65" s="52">
        <v>0</v>
      </c>
      <c r="D65" s="52">
        <v>0</v>
      </c>
      <c r="E65" s="185">
        <v>0</v>
      </c>
      <c r="F65" s="185">
        <v>0</v>
      </c>
      <c r="G65" s="185">
        <v>0</v>
      </c>
      <c r="H65" s="185">
        <v>0</v>
      </c>
    </row>
    <row r="66" spans="1:8" x14ac:dyDescent="0.25">
      <c r="A66" s="186">
        <v>5103</v>
      </c>
      <c r="B66" s="44" t="s">
        <v>179</v>
      </c>
      <c r="C66" s="52">
        <v>0</v>
      </c>
      <c r="D66" s="52">
        <v>0</v>
      </c>
      <c r="E66" s="185">
        <v>0</v>
      </c>
      <c r="F66" s="185">
        <v>0</v>
      </c>
      <c r="G66" s="185">
        <v>0</v>
      </c>
      <c r="H66" s="185">
        <v>0</v>
      </c>
    </row>
    <row r="67" spans="1:8" x14ac:dyDescent="0.25">
      <c r="A67" s="186" t="s">
        <v>383</v>
      </c>
      <c r="B67" s="186" t="s">
        <v>102</v>
      </c>
      <c r="C67" s="52">
        <v>0</v>
      </c>
      <c r="D67" s="52">
        <v>0</v>
      </c>
      <c r="E67" s="185">
        <v>0</v>
      </c>
      <c r="F67" s="185">
        <v>0</v>
      </c>
      <c r="G67" s="185">
        <v>0</v>
      </c>
      <c r="H67" s="185">
        <v>0</v>
      </c>
    </row>
    <row r="68" spans="1:8" x14ac:dyDescent="0.25">
      <c r="A68" s="186" t="s">
        <v>384</v>
      </c>
      <c r="B68" s="44" t="s">
        <v>104</v>
      </c>
      <c r="C68" s="52">
        <v>0</v>
      </c>
      <c r="D68" s="52">
        <v>0</v>
      </c>
      <c r="E68" s="185">
        <v>0</v>
      </c>
      <c r="F68" s="185">
        <v>0</v>
      </c>
      <c r="G68" s="185">
        <v>0</v>
      </c>
      <c r="H68" s="185">
        <v>0</v>
      </c>
    </row>
    <row r="69" spans="1:8" x14ac:dyDescent="0.25">
      <c r="A69" s="186" t="s">
        <v>385</v>
      </c>
      <c r="B69" s="186" t="s">
        <v>106</v>
      </c>
      <c r="C69" s="52">
        <v>0</v>
      </c>
      <c r="D69" s="52">
        <v>0</v>
      </c>
      <c r="E69" s="185">
        <v>0</v>
      </c>
      <c r="F69" s="185">
        <v>0</v>
      </c>
      <c r="G69" s="185">
        <v>0</v>
      </c>
      <c r="H69" s="185">
        <v>0</v>
      </c>
    </row>
    <row r="70" spans="1:8" x14ac:dyDescent="0.25">
      <c r="A70" s="186" t="s">
        <v>386</v>
      </c>
      <c r="B70" s="186" t="s">
        <v>175</v>
      </c>
      <c r="C70" s="52">
        <v>0</v>
      </c>
      <c r="D70" s="52">
        <v>0</v>
      </c>
      <c r="E70" s="185">
        <v>0</v>
      </c>
      <c r="F70" s="185">
        <v>0</v>
      </c>
      <c r="G70" s="185">
        <v>0</v>
      </c>
      <c r="H70" s="185">
        <v>0</v>
      </c>
    </row>
    <row r="71" spans="1:8" x14ac:dyDescent="0.25">
      <c r="A71" s="186" t="s">
        <v>387</v>
      </c>
      <c r="B71" s="186" t="s">
        <v>177</v>
      </c>
      <c r="C71" s="52">
        <v>0</v>
      </c>
      <c r="D71" s="52">
        <v>0</v>
      </c>
      <c r="E71" s="185">
        <v>0</v>
      </c>
      <c r="F71" s="185">
        <v>0</v>
      </c>
      <c r="G71" s="185">
        <v>0</v>
      </c>
      <c r="H71" s="185">
        <v>0</v>
      </c>
    </row>
    <row r="72" spans="1:8" x14ac:dyDescent="0.25">
      <c r="A72" s="186">
        <v>6000</v>
      </c>
      <c r="B72" s="186" t="s">
        <v>318</v>
      </c>
      <c r="C72" s="52">
        <v>0</v>
      </c>
      <c r="D72" s="52">
        <v>0</v>
      </c>
      <c r="E72" s="185">
        <v>0</v>
      </c>
      <c r="F72" s="185">
        <v>0</v>
      </c>
      <c r="G72" s="185">
        <v>0</v>
      </c>
      <c r="H72" s="185">
        <v>0</v>
      </c>
    </row>
    <row r="73" spans="1:8" x14ac:dyDescent="0.25">
      <c r="A73" s="186" t="s">
        <v>320</v>
      </c>
      <c r="B73" s="186" t="s">
        <v>321</v>
      </c>
      <c r="C73" s="52">
        <v>0</v>
      </c>
      <c r="D73" s="52">
        <v>0</v>
      </c>
      <c r="E73" s="185">
        <v>0</v>
      </c>
      <c r="F73" s="185">
        <v>0</v>
      </c>
      <c r="G73" s="185">
        <v>0</v>
      </c>
      <c r="H73" s="185">
        <v>0</v>
      </c>
    </row>
    <row r="74" spans="1:8" x14ac:dyDescent="0.25">
      <c r="A74" s="186">
        <v>6001</v>
      </c>
      <c r="B74" s="186" t="s">
        <v>322</v>
      </c>
      <c r="C74" s="52">
        <v>0</v>
      </c>
      <c r="D74" s="52">
        <v>0</v>
      </c>
      <c r="E74" s="185">
        <v>0</v>
      </c>
      <c r="F74" s="185">
        <v>0</v>
      </c>
      <c r="G74" s="185">
        <v>0</v>
      </c>
      <c r="H74" s="185">
        <v>0</v>
      </c>
    </row>
    <row r="75" spans="1:8" x14ac:dyDescent="0.25">
      <c r="A75" s="186" t="s">
        <v>323</v>
      </c>
      <c r="C75" s="52">
        <v>0</v>
      </c>
      <c r="D75" s="52">
        <v>0</v>
      </c>
      <c r="E75" s="185">
        <v>0</v>
      </c>
      <c r="F75" s="185">
        <v>0</v>
      </c>
      <c r="G75" s="185">
        <v>0</v>
      </c>
      <c r="H75" s="185">
        <v>0</v>
      </c>
    </row>
    <row r="76" spans="1:8" x14ac:dyDescent="0.25">
      <c r="C76" s="52"/>
      <c r="D76" s="52"/>
      <c r="E76" s="185"/>
      <c r="F76" s="185"/>
      <c r="G76" s="185"/>
      <c r="H76" s="185"/>
    </row>
    <row r="77" spans="1:8" x14ac:dyDescent="0.25">
      <c r="B77" s="126" t="s">
        <v>130</v>
      </c>
      <c r="C77" s="52"/>
      <c r="D77" s="52"/>
      <c r="E77" s="185">
        <f>+E10+E12+E14+E16+E18+E20+E32+E34+E36+E38+E44+E57+E59+E40+E42+E53+E55</f>
        <v>858876.76610837434</v>
      </c>
      <c r="F77" s="185">
        <f>+F10+F12+F14+F16+F18+F20+F32+F34+F36+F38+F44+F57+F59+F40+F42+F53+F55</f>
        <v>858876.76610837434</v>
      </c>
      <c r="G77" s="185">
        <f t="shared" ref="G77:H77" si="0">+G10+G12+G14+G16+G18+G20+G32+G34+G36+G38+G44+G57+G59+G40+G42+G53+G55</f>
        <v>779873.76</v>
      </c>
      <c r="H77" s="185">
        <f t="shared" si="0"/>
        <v>779873.76</v>
      </c>
    </row>
    <row r="79" spans="1:8" x14ac:dyDescent="0.25">
      <c r="E79" s="148">
        <f>+F77-E77</f>
        <v>0</v>
      </c>
      <c r="F79" s="148"/>
      <c r="G79" s="148">
        <f>+H77-G77</f>
        <v>0</v>
      </c>
    </row>
  </sheetData>
  <mergeCells count="9">
    <mergeCell ref="G8:H8"/>
    <mergeCell ref="A5:H5"/>
    <mergeCell ref="A6:H6"/>
    <mergeCell ref="A1:H1"/>
    <mergeCell ref="A2:H2"/>
    <mergeCell ref="A3:H3"/>
    <mergeCell ref="A4:H4"/>
    <mergeCell ref="C8:D8"/>
    <mergeCell ref="E8:F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ASIENTOS</vt:lpstr>
      <vt:lpstr>NOMINAS</vt:lpstr>
      <vt:lpstr>POLIZA DE DIARIO</vt:lpstr>
      <vt:lpstr>POLIZA DE EGRESO</vt:lpstr>
      <vt:lpstr>POLIZA DE INGRESO</vt:lpstr>
      <vt:lpstr>CATALOGO DE CUENTAS</vt:lpstr>
      <vt:lpstr>TARJETA DE ALMACEN</vt:lpstr>
      <vt:lpstr>ESQUEMAS DE MAYOR</vt:lpstr>
      <vt:lpstr>BALANZA DE COMPROBACION</vt:lpstr>
      <vt:lpstr>HOJA DE TRABAJO</vt:lpstr>
      <vt:lpstr>PAPEL DE TRABAJO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PC2</cp:lastModifiedBy>
  <dcterms:created xsi:type="dcterms:W3CDTF">2014-02-26T05:43:46Z</dcterms:created>
  <dcterms:modified xsi:type="dcterms:W3CDTF">2015-11-09T00:58:09Z</dcterms:modified>
</cp:coreProperties>
</file>